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4955" windowHeight="11745" activeTab="0"/>
  </bookViews>
  <sheets>
    <sheet name="Values" sheetId="1" r:id="rId1"/>
    <sheet name="Coeff" sheetId="2" r:id="rId2"/>
    <sheet name="Calculation" sheetId="3" r:id="rId3"/>
    <sheet name="Adj IRI" sheetId="4" r:id="rId4"/>
  </sheets>
  <definedNames/>
  <calcPr fullCalcOnLoad="1"/>
</workbook>
</file>

<file path=xl/comments3.xml><?xml version="1.0" encoding="utf-8"?>
<comments xmlns="http://schemas.openxmlformats.org/spreadsheetml/2006/main">
  <authors>
    <author>Robert Davies</author>
  </authors>
  <commentList>
    <comment ref="A4" authorId="0">
      <text>
        <r>
          <rPr>
            <sz val="8"/>
            <rFont val="Tahoma"/>
            <family val="0"/>
          </rPr>
          <t xml:space="preserve">This is from the "Coeff" sheet with extra rows corresponding to the first levels of the qualitative variables
</t>
        </r>
      </text>
    </comment>
    <comment ref="F4" authorId="0">
      <text>
        <r>
          <rPr>
            <sz val="8"/>
            <rFont val="Tahoma"/>
            <family val="0"/>
          </rPr>
          <t xml:space="preserve">Value of each predictor variable calculated from the values in sheet "Values"
</t>
        </r>
      </text>
    </comment>
    <comment ref="G4" authorId="0">
      <text>
        <r>
          <rPr>
            <sz val="8"/>
            <rFont val="Tahoma"/>
            <family val="2"/>
          </rPr>
          <t>product of coeff and value</t>
        </r>
      </text>
    </comment>
    <comment ref="I4" authorId="0">
      <text>
        <r>
          <rPr>
            <sz val="8"/>
            <rFont val="Tahoma"/>
            <family val="2"/>
          </rPr>
          <t>Check that the entered value is OK, particularly for the qualitative variables</t>
        </r>
      </text>
    </comment>
    <comment ref="G55" authorId="0">
      <text>
        <r>
          <rPr>
            <sz val="8"/>
            <rFont val="Tahoma"/>
            <family val="2"/>
          </rPr>
          <t>Sum of product values</t>
        </r>
      </text>
    </comment>
    <comment ref="F6" authorId="0">
      <text>
        <r>
          <rPr>
            <sz val="8"/>
            <rFont val="Tahoma"/>
            <family val="2"/>
          </rPr>
          <t>For the qualitative variables insert 1 in the cell corresponding to the value of the variable and 0 otherwise</t>
        </r>
      </text>
    </comment>
    <comment ref="F35" authorId="0">
      <text>
        <r>
          <rPr>
            <sz val="8"/>
            <rFont val="Tahoma"/>
            <family val="2"/>
          </rPr>
          <t>For the first line of each quantitative variable, pick up the value from the sheet "Values"</t>
        </r>
      </text>
    </comment>
    <comment ref="F36" authorId="0">
      <text>
        <r>
          <rPr>
            <sz val="8"/>
            <rFont val="Tahoma"/>
            <family val="2"/>
          </rPr>
          <t>For the subsequent lines calcuate the appropriate power</t>
        </r>
      </text>
    </comment>
    <comment ref="F50" authorId="0">
      <text>
        <r>
          <rPr>
            <sz val="8"/>
            <rFont val="Tahoma"/>
            <family val="2"/>
          </rPr>
          <t>For interactions calculate the products of the component variables</t>
        </r>
      </text>
    </comment>
    <comment ref="G57" authorId="0">
      <text>
        <r>
          <rPr>
            <sz val="8"/>
            <rFont val="Tahoma"/>
            <family val="2"/>
          </rPr>
          <t>Take exponential, then rescale to get crashes per 100,000,000 vehicle kilometres</t>
        </r>
      </text>
    </comment>
  </commentList>
</comments>
</file>

<file path=xl/comments4.xml><?xml version="1.0" encoding="utf-8"?>
<comments xmlns="http://schemas.openxmlformats.org/spreadsheetml/2006/main">
  <authors>
    <author>Robert Davies</author>
  </authors>
  <commentList>
    <comment ref="B11" authorId="0">
      <text>
        <r>
          <rPr>
            <sz val="8"/>
            <rFont val="Tahoma"/>
            <family val="2"/>
          </rPr>
          <t>From regression model</t>
        </r>
      </text>
    </comment>
    <comment ref="D11" authorId="0">
      <text>
        <r>
          <rPr>
            <sz val="8"/>
            <rFont val="Tahoma"/>
            <family val="2"/>
          </rPr>
          <t>Polynomial values from curvature and gradient</t>
        </r>
      </text>
    </comment>
    <comment ref="E11" authorId="0">
      <text>
        <r>
          <rPr>
            <sz val="8"/>
            <rFont val="Tahoma"/>
            <family val="2"/>
          </rPr>
          <t>Product of coefficient and value</t>
        </r>
      </text>
    </comment>
    <comment ref="E6" authorId="0">
      <text>
        <r>
          <rPr>
            <b/>
            <sz val="8"/>
            <rFont val="Tahoma"/>
            <family val="0"/>
          </rPr>
          <t>Log10 of absoulte curvature</t>
        </r>
      </text>
    </comment>
    <comment ref="F6" authorId="0">
      <text>
        <r>
          <rPr>
            <b/>
            <sz val="8"/>
            <rFont val="Tahoma"/>
            <family val="0"/>
          </rPr>
          <t>Bound values by values in LB and UB</t>
        </r>
      </text>
    </comment>
    <comment ref="E22" authorId="0">
      <text>
        <r>
          <rPr>
            <b/>
            <sz val="8"/>
            <rFont val="Tahoma"/>
            <family val="0"/>
          </rPr>
          <t>Sum of product values</t>
        </r>
      </text>
    </comment>
    <comment ref="E23" authorId="0">
      <text>
        <r>
          <rPr>
            <sz val="8"/>
            <rFont val="Tahoma"/>
            <family val="2"/>
          </rPr>
          <t>Adjustment needed to get zero correction when curvature = 100000 and gradient = 0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>Subtract this from log10 IRI to get adjustment</t>
        </r>
      </text>
    </comment>
    <comment ref="E27" authorId="0">
      <text>
        <r>
          <rPr>
            <sz val="8"/>
            <rFont val="Tahoma"/>
            <family val="2"/>
          </rPr>
          <t>Divide IRI by this to get adjustment</t>
        </r>
      </text>
    </comment>
  </commentList>
</comments>
</file>

<file path=xl/sharedStrings.xml><?xml version="1.0" encoding="utf-8"?>
<sst xmlns="http://schemas.openxmlformats.org/spreadsheetml/2006/main" count="190" uniqueCount="123">
  <si>
    <t>constant</t>
  </si>
  <si>
    <t>year:2001</t>
  </si>
  <si>
    <t>year:2002</t>
  </si>
  <si>
    <t>year:2003</t>
  </si>
  <si>
    <t>year:2004</t>
  </si>
  <si>
    <t>year:2005</t>
  </si>
  <si>
    <t>year:2006</t>
  </si>
  <si>
    <t>year:2007</t>
  </si>
  <si>
    <t>year:2008</t>
  </si>
  <si>
    <t>year:2009</t>
  </si>
  <si>
    <t>region:R02</t>
  </si>
  <si>
    <t>region:R03</t>
  </si>
  <si>
    <t>region:R04</t>
  </si>
  <si>
    <t>region:R05</t>
  </si>
  <si>
    <t>region:R06</t>
  </si>
  <si>
    <t>region:R07</t>
  </si>
  <si>
    <t>region:R08</t>
  </si>
  <si>
    <t>region:R09</t>
  </si>
  <si>
    <t>region:R10</t>
  </si>
  <si>
    <t>region:R11</t>
  </si>
  <si>
    <t>region:R12</t>
  </si>
  <si>
    <t>region:R13</t>
  </si>
  <si>
    <t>region:R14</t>
  </si>
  <si>
    <t>urban_rural:R</t>
  </si>
  <si>
    <t>adj_skid_site:3</t>
  </si>
  <si>
    <t>adj_skid_site:1</t>
  </si>
  <si>
    <t>bound_OOCC**1</t>
  </si>
  <si>
    <t>bound_OOCC**2</t>
  </si>
  <si>
    <t>bound_OOCC**3</t>
  </si>
  <si>
    <t>bound_log10_abs_curvature**1</t>
  </si>
  <si>
    <t>bound_log10_abs_curvature**2</t>
  </si>
  <si>
    <t>log10_ADT**1</t>
  </si>
  <si>
    <t>log10_ADT**2</t>
  </si>
  <si>
    <t>scrim-0.5000**1</t>
  </si>
  <si>
    <t>scrim-0.5000**2</t>
  </si>
  <si>
    <t>bound_abs_gradient**1</t>
  </si>
  <si>
    <t>bound_abs_gradient**2</t>
  </si>
  <si>
    <t>bound_abs_gradient**3</t>
  </si>
  <si>
    <t>bound_adj_log10_iri**1</t>
  </si>
  <si>
    <t>bound_adj_log10_iri**2</t>
  </si>
  <si>
    <t>bound_adj_log10_iri**3</t>
  </si>
  <si>
    <t>bound_log10_abs_curvature**1.bound_adj_log10_iri**1</t>
  </si>
  <si>
    <t>bound_log10_abs_curvature**1.bound_adj_log10_iri**2</t>
  </si>
  <si>
    <t>bound_log10_abs_curvature**2.bound_adj_log10_iri**1</t>
  </si>
  <si>
    <t>bound_log10_abs_curvature**2.bound_adj_log10_iri**2</t>
  </si>
  <si>
    <t>year</t>
  </si>
  <si>
    <t>region</t>
  </si>
  <si>
    <t>urban_rural</t>
  </si>
  <si>
    <t>adj_skid_site</t>
  </si>
  <si>
    <t>year:2000</t>
  </si>
  <si>
    <t>region:R01</t>
  </si>
  <si>
    <t>urban_rural:U</t>
  </si>
  <si>
    <t>coeff</t>
  </si>
  <si>
    <t>s.d.</t>
  </si>
  <si>
    <t>ratio</t>
  </si>
  <si>
    <t>predictor</t>
  </si>
  <si>
    <t>OOCC</t>
  </si>
  <si>
    <t>log10_abs_curvature</t>
  </si>
  <si>
    <t>log10_ADT</t>
  </si>
  <si>
    <t>scrim-0.5</t>
  </si>
  <si>
    <t>abs_gradient</t>
  </si>
  <si>
    <t>ub</t>
  </si>
  <si>
    <t>lb</t>
  </si>
  <si>
    <t>default</t>
  </si>
  <si>
    <t>value</t>
  </si>
  <si>
    <t>adj_log10_iri</t>
  </si>
  <si>
    <t>R03</t>
  </si>
  <si>
    <t>R</t>
  </si>
  <si>
    <t>bdd val</t>
  </si>
  <si>
    <t>adj_skid_site:4</t>
  </si>
  <si>
    <t>product</t>
  </si>
  <si>
    <t>sum</t>
  </si>
  <si>
    <t>Xcheck</t>
  </si>
  <si>
    <t>Predicted crash rate =</t>
  </si>
  <si>
    <t>Transformed values</t>
  </si>
  <si>
    <t>curvature</t>
  </si>
  <si>
    <t>ADT</t>
  </si>
  <si>
    <t>gradient</t>
  </si>
  <si>
    <t>scrim</t>
  </si>
  <si>
    <t>crash risk</t>
  </si>
  <si>
    <t>bound_log10_abs_curvature**3</t>
  </si>
  <si>
    <t>bound_log10_abs_curvature**4</t>
  </si>
  <si>
    <t>bound_log10_abs_curvature**5</t>
  </si>
  <si>
    <t>gradient**1</t>
  </si>
  <si>
    <t>gradient**2</t>
  </si>
  <si>
    <t>Predictor</t>
  </si>
  <si>
    <t>Coefficient</t>
  </si>
  <si>
    <t>Value</t>
  </si>
  <si>
    <t>Transform</t>
  </si>
  <si>
    <t>LB</t>
  </si>
  <si>
    <t>UB</t>
  </si>
  <si>
    <t>Bdd val</t>
  </si>
  <si>
    <t>Product</t>
  </si>
  <si>
    <t>Sum</t>
  </si>
  <si>
    <t>Base Level</t>
  </si>
  <si>
    <t>Correction</t>
  </si>
  <si>
    <t>Antilog10(correction)</t>
  </si>
  <si>
    <t>log10 IRI fitted =</t>
  </si>
  <si>
    <t>iri multiplier =</t>
  </si>
  <si>
    <t>y</t>
  </si>
  <si>
    <t>Crash rate model for all crashes</t>
  </si>
  <si>
    <t>This calculates the predicted crash rate in crashes per 100,000 kilometres.</t>
  </si>
  <si>
    <t>Use adjusted IRI (y, n)</t>
  </si>
  <si>
    <t>2000 to 2009</t>
  </si>
  <si>
    <t>R01 to R14</t>
  </si>
  <si>
    <t>&gt;= 100</t>
  </si>
  <si>
    <t>should usually be 'y'</t>
  </si>
  <si>
    <t>Enter the data in the cells highlighted in yellow; read off the result in the cell highlighted in brown</t>
  </si>
  <si>
    <t>default is for adjusted iri</t>
  </si>
  <si>
    <t>See below for more details</t>
  </si>
  <si>
    <t>log10 IRI adjustment =</t>
  </si>
  <si>
    <t>IRI</t>
  </si>
  <si>
    <t>IRI adjustment</t>
  </si>
  <si>
    <t>Notes</t>
  </si>
  <si>
    <t>This sheet "Values" is for entering the values and reading the result of the calculation</t>
  </si>
  <si>
    <t>Sheet "Coef" contains the regression estimates from the model</t>
  </si>
  <si>
    <t>Sheet "Calculation" applies the regression coefficients to the transformed data to get the crash risk estimate</t>
  </si>
  <si>
    <t>Sheet "Adj IRI" uses the curvature and gradient to get the adjustment to the IRI.</t>
  </si>
  <si>
    <t>1, 3 or 4 - see the report for details</t>
  </si>
  <si>
    <t>Coefficients from Poisson regression model</t>
  </si>
  <si>
    <t>Calculation of estimated crash rate</t>
  </si>
  <si>
    <t>Calculate the adjustment to the IRI using the curvature and gradient from sheet "Values"</t>
  </si>
  <si>
    <t>R or U (check your entry - is R entered correctly?)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</si>
</sst>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11.57421875" style="0" bestFit="1" customWidth="1"/>
  </cols>
  <sheetData>
    <row r="1" ht="12.75">
      <c r="A1" s="2" t="s">
        <v>100</v>
      </c>
    </row>
    <row r="2" s="7" customFormat="1" ht="12.75"/>
    <row r="3" s="7" customFormat="1" ht="12.75">
      <c r="A3" s="7" t="s">
        <v>101</v>
      </c>
    </row>
    <row r="4" s="7" customFormat="1" ht="12.75">
      <c r="A4" s="7" t="s">
        <v>107</v>
      </c>
    </row>
    <row r="5" s="7" customFormat="1" ht="12.75">
      <c r="A5" s="7" t="s">
        <v>109</v>
      </c>
    </row>
    <row r="6" s="7" customFormat="1" ht="12.75"/>
    <row r="7" spans="1:3" ht="12.75">
      <c r="A7" s="2" t="s">
        <v>55</v>
      </c>
      <c r="B7" s="3" t="s">
        <v>63</v>
      </c>
      <c r="C7" s="3" t="s">
        <v>64</v>
      </c>
    </row>
    <row r="9" spans="1:5" ht="12.75">
      <c r="A9" t="s">
        <v>45</v>
      </c>
      <c r="B9" s="4">
        <v>2008</v>
      </c>
      <c r="C9" s="5">
        <v>2008</v>
      </c>
      <c r="D9" s="6">
        <f>IF(Calculation!I6&lt;&gt;1,"Error","")</f>
      </c>
      <c r="E9" t="s">
        <v>103</v>
      </c>
    </row>
    <row r="10" spans="1:5" ht="12.75">
      <c r="A10" t="s">
        <v>46</v>
      </c>
      <c r="B10" s="4" t="s">
        <v>66</v>
      </c>
      <c r="C10" s="5" t="s">
        <v>66</v>
      </c>
      <c r="D10" s="6">
        <f>IF(Calculation!I16&lt;&gt;1,"Error","")</f>
      </c>
      <c r="E10" t="s">
        <v>104</v>
      </c>
    </row>
    <row r="11" spans="1:5" ht="12.75">
      <c r="A11" t="s">
        <v>47</v>
      </c>
      <c r="B11" s="4" t="s">
        <v>67</v>
      </c>
      <c r="C11" s="5" t="s">
        <v>67</v>
      </c>
      <c r="D11" s="6">
        <f>IF(Calculation!I30&lt;&gt;1,"Error","")</f>
      </c>
      <c r="E11" t="s">
        <v>122</v>
      </c>
    </row>
    <row r="12" spans="1:5" ht="12.75">
      <c r="A12" t="s">
        <v>48</v>
      </c>
      <c r="B12" s="4">
        <v>4</v>
      </c>
      <c r="C12" s="5">
        <v>4</v>
      </c>
      <c r="D12" s="6">
        <f>IF(Calculation!I32&lt;&gt;1,"Error","")</f>
      </c>
      <c r="E12" t="s">
        <v>118</v>
      </c>
    </row>
    <row r="13" spans="1:3" ht="12.75">
      <c r="A13" t="s">
        <v>56</v>
      </c>
      <c r="B13" s="4">
        <v>0</v>
      </c>
      <c r="C13" s="5">
        <v>0</v>
      </c>
    </row>
    <row r="14" spans="1:3" ht="12.75">
      <c r="A14" t="s">
        <v>75</v>
      </c>
      <c r="B14" s="4">
        <v>5000</v>
      </c>
      <c r="C14" s="5">
        <v>5000</v>
      </c>
    </row>
    <row r="15" spans="1:5" ht="12.75">
      <c r="A15" t="s">
        <v>76</v>
      </c>
      <c r="B15" s="4">
        <v>1000</v>
      </c>
      <c r="C15" s="5">
        <v>1000</v>
      </c>
      <c r="D15">
        <f>IF(C15&lt;100,"error","")</f>
      </c>
      <c r="E15" t="s">
        <v>105</v>
      </c>
    </row>
    <row r="16" spans="1:3" ht="12.75">
      <c r="A16" t="s">
        <v>78</v>
      </c>
      <c r="B16" s="4">
        <v>0.5</v>
      </c>
      <c r="C16" s="5">
        <v>0.5</v>
      </c>
    </row>
    <row r="17" spans="1:3" ht="12.75">
      <c r="A17" t="s">
        <v>77</v>
      </c>
      <c r="B17" s="4">
        <v>0</v>
      </c>
      <c r="C17" s="5">
        <v>0</v>
      </c>
    </row>
    <row r="18" spans="1:5" ht="12.75">
      <c r="A18" t="s">
        <v>111</v>
      </c>
      <c r="B18" s="4">
        <f>10^0.3</f>
        <v>1.9952623149688797</v>
      </c>
      <c r="C18" s="5">
        <f>10^0.3</f>
        <v>1.9952623149688797</v>
      </c>
      <c r="E18" t="s">
        <v>108</v>
      </c>
    </row>
    <row r="19" spans="2:3" ht="12.75">
      <c r="B19" s="4"/>
      <c r="C19" s="11"/>
    </row>
    <row r="20" spans="1:3" ht="12.75">
      <c r="A20" s="2" t="s">
        <v>112</v>
      </c>
      <c r="B20" s="4"/>
      <c r="C20" s="11"/>
    </row>
    <row r="21" spans="2:12" ht="12.75">
      <c r="B21" s="4"/>
      <c r="L21" s="8"/>
    </row>
    <row r="22" spans="1:3" ht="12.75">
      <c r="A22" t="s">
        <v>97</v>
      </c>
      <c r="B22" s="4"/>
      <c r="C22">
        <f>'Adj IRI'!E22</f>
        <v>0.3581219703645342</v>
      </c>
    </row>
    <row r="23" spans="1:3" ht="12.75">
      <c r="A23" t="s">
        <v>110</v>
      </c>
      <c r="B23" s="4"/>
      <c r="C23">
        <f>'Adj IRI'!E25</f>
        <v>0.009710512275084182</v>
      </c>
    </row>
    <row r="24" spans="1:3" ht="12.75">
      <c r="A24" t="s">
        <v>98</v>
      </c>
      <c r="B24" s="4"/>
      <c r="C24">
        <f>1/'Adj IRI'!E27</f>
        <v>0.9778888352366255</v>
      </c>
    </row>
    <row r="25" spans="1:5" ht="12.75">
      <c r="A25" t="s">
        <v>102</v>
      </c>
      <c r="B25" s="4"/>
      <c r="C25" s="5" t="s">
        <v>99</v>
      </c>
      <c r="E25" t="s">
        <v>106</v>
      </c>
    </row>
    <row r="26" ht="12.75">
      <c r="B26" s="4"/>
    </row>
    <row r="27" spans="1:2" ht="12.75">
      <c r="A27" s="2" t="s">
        <v>74</v>
      </c>
      <c r="B27" s="4"/>
    </row>
    <row r="29" spans="1:5" ht="12.75">
      <c r="A29" s="2" t="s">
        <v>55</v>
      </c>
      <c r="B29" s="3" t="s">
        <v>62</v>
      </c>
      <c r="C29" s="3" t="s">
        <v>61</v>
      </c>
      <c r="D29" s="3" t="s">
        <v>64</v>
      </c>
      <c r="E29" s="3" t="s">
        <v>68</v>
      </c>
    </row>
    <row r="31" spans="1:5" ht="12.75">
      <c r="A31" t="s">
        <v>45</v>
      </c>
      <c r="D31" s="4">
        <f>C9</f>
        <v>2008</v>
      </c>
      <c r="E31" s="4">
        <f>D31</f>
        <v>2008</v>
      </c>
    </row>
    <row r="32" spans="1:5" ht="12.75">
      <c r="A32" t="s">
        <v>46</v>
      </c>
      <c r="D32" s="4" t="str">
        <f>C10</f>
        <v>R03</v>
      </c>
      <c r="E32" s="4" t="str">
        <f aca="true" t="shared" si="0" ref="E32:E38">D32</f>
        <v>R03</v>
      </c>
    </row>
    <row r="33" spans="1:5" ht="12.75">
      <c r="A33" t="s">
        <v>47</v>
      </c>
      <c r="D33" s="4" t="str">
        <f>C11</f>
        <v>R</v>
      </c>
      <c r="E33" s="4" t="str">
        <f t="shared" si="0"/>
        <v>R</v>
      </c>
    </row>
    <row r="34" spans="1:5" ht="12.75">
      <c r="A34" t="s">
        <v>48</v>
      </c>
      <c r="D34" s="4">
        <f>C12</f>
        <v>4</v>
      </c>
      <c r="E34" s="4">
        <f t="shared" si="0"/>
        <v>4</v>
      </c>
    </row>
    <row r="35" spans="1:5" ht="12.75">
      <c r="A35" t="s">
        <v>56</v>
      </c>
      <c r="B35">
        <v>0</v>
      </c>
      <c r="C35">
        <v>35</v>
      </c>
      <c r="D35" s="4">
        <f>C13</f>
        <v>0</v>
      </c>
      <c r="E35" s="4">
        <f>IF(D35&lt;B35,B35,IF(D35&gt;C35,C35,D35))</f>
        <v>0</v>
      </c>
    </row>
    <row r="36" spans="1:5" ht="12.75">
      <c r="A36" t="s">
        <v>57</v>
      </c>
      <c r="B36">
        <v>2</v>
      </c>
      <c r="C36">
        <v>4</v>
      </c>
      <c r="D36" s="4">
        <f>LOG10(ABS(C14))</f>
        <v>3.6989700043360187</v>
      </c>
      <c r="E36" s="4">
        <f>IF(D36&lt;B36,B36,IF(D36&gt;C36,C36,D36))</f>
        <v>3.6989700043360187</v>
      </c>
    </row>
    <row r="37" spans="1:5" ht="12.75">
      <c r="A37" t="s">
        <v>58</v>
      </c>
      <c r="D37" s="4">
        <f>LOG10(C15)</f>
        <v>3</v>
      </c>
      <c r="E37" s="4">
        <f t="shared" si="0"/>
        <v>3</v>
      </c>
    </row>
    <row r="38" spans="1:5" ht="12.75">
      <c r="A38" t="s">
        <v>59</v>
      </c>
      <c r="D38" s="4">
        <f>C16-0.5</f>
        <v>0</v>
      </c>
      <c r="E38" s="4">
        <f t="shared" si="0"/>
        <v>0</v>
      </c>
    </row>
    <row r="39" spans="1:5" ht="12.75">
      <c r="A39" t="s">
        <v>60</v>
      </c>
      <c r="B39">
        <v>4</v>
      </c>
      <c r="C39">
        <v>10</v>
      </c>
      <c r="D39" s="4">
        <f>ABS(C17)</f>
        <v>0</v>
      </c>
      <c r="E39" s="4">
        <f>IF(D39&lt;B39,B39,IF(D39&gt;C39,C39,D39))</f>
        <v>4</v>
      </c>
    </row>
    <row r="40" spans="1:5" ht="12.75">
      <c r="A40" t="s">
        <v>65</v>
      </c>
      <c r="B40">
        <v>-0.3</v>
      </c>
      <c r="C40">
        <v>1.2</v>
      </c>
      <c r="D40" s="4">
        <f>IF(C25="y",LOG10(C18)-'Adj IRI'!E25,LOG10(C18))</f>
        <v>0.29028948772491586</v>
      </c>
      <c r="E40" s="4">
        <f>IF(D40&lt;B40,B40,IF(D40&gt;C40,C40,D40))</f>
        <v>0.29028948772491586</v>
      </c>
    </row>
    <row r="42" spans="1:2" ht="12.75">
      <c r="A42" s="9" t="s">
        <v>73</v>
      </c>
      <c r="B42" s="10">
        <f>Calculation!G57</f>
        <v>1.7077710160585404</v>
      </c>
    </row>
    <row r="45" ht="12.75">
      <c r="A45" s="2" t="s">
        <v>113</v>
      </c>
    </row>
    <row r="47" ht="12.75">
      <c r="A47" t="s">
        <v>114</v>
      </c>
    </row>
    <row r="48" ht="12.75">
      <c r="A48" t="s">
        <v>115</v>
      </c>
    </row>
    <row r="49" ht="12.75">
      <c r="A49" t="s">
        <v>116</v>
      </c>
    </row>
    <row r="50" ht="12.75">
      <c r="A50" t="s">
        <v>117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H1" sqref="H1:J16384"/>
    </sheetView>
  </sheetViews>
  <sheetFormatPr defaultColWidth="9.140625" defaultRowHeight="12.75"/>
  <cols>
    <col min="1" max="1" width="53.00390625" style="0" customWidth="1"/>
    <col min="2" max="2" width="16.00390625" style="0" customWidth="1"/>
  </cols>
  <sheetData>
    <row r="1" ht="12.75">
      <c r="A1" s="2" t="s">
        <v>119</v>
      </c>
    </row>
    <row r="4" spans="1:4" ht="12.75">
      <c r="A4" s="2" t="s">
        <v>55</v>
      </c>
      <c r="B4" s="3" t="s">
        <v>52</v>
      </c>
      <c r="C4" s="3" t="s">
        <v>53</v>
      </c>
      <c r="D4" s="3" t="s">
        <v>54</v>
      </c>
    </row>
    <row r="5" spans="1:4" ht="12.75">
      <c r="A5" t="s">
        <v>0</v>
      </c>
      <c r="B5">
        <v>-17.2725220306288</v>
      </c>
      <c r="C5">
        <v>2.769</v>
      </c>
      <c r="D5">
        <v>-6.2379</v>
      </c>
    </row>
    <row r="6" spans="1:4" ht="12.75">
      <c r="A6" t="s">
        <v>1</v>
      </c>
      <c r="B6">
        <v>0.20353044930273</v>
      </c>
      <c r="C6">
        <v>0.066016</v>
      </c>
      <c r="D6">
        <v>3.083</v>
      </c>
    </row>
    <row r="7" spans="1:4" ht="12.75">
      <c r="A7" t="s">
        <v>2</v>
      </c>
      <c r="B7">
        <v>0.255531294372963</v>
      </c>
      <c r="C7">
        <v>0.06629</v>
      </c>
      <c r="D7">
        <v>3.8548</v>
      </c>
    </row>
    <row r="8" spans="1:4" ht="12.75">
      <c r="A8" t="s">
        <v>3</v>
      </c>
      <c r="B8">
        <v>0.172716529019058</v>
      </c>
      <c r="C8">
        <v>0.065745</v>
      </c>
      <c r="D8">
        <v>2.6271</v>
      </c>
    </row>
    <row r="9" spans="1:4" ht="12.75">
      <c r="A9" t="s">
        <v>4</v>
      </c>
      <c r="B9">
        <v>0.29843471044497</v>
      </c>
      <c r="C9">
        <v>0.063825</v>
      </c>
      <c r="D9">
        <v>4.6758</v>
      </c>
    </row>
    <row r="10" spans="1:4" ht="12.75">
      <c r="A10" t="s">
        <v>5</v>
      </c>
      <c r="B10">
        <v>0.224584485586385</v>
      </c>
      <c r="C10">
        <v>0.064414</v>
      </c>
      <c r="D10">
        <v>3.4866</v>
      </c>
    </row>
    <row r="11" spans="1:4" ht="12.75">
      <c r="A11" t="s">
        <v>6</v>
      </c>
      <c r="B11">
        <v>0.24450864341311</v>
      </c>
      <c r="C11">
        <v>0.06402</v>
      </c>
      <c r="D11">
        <v>3.8193</v>
      </c>
    </row>
    <row r="12" spans="1:4" ht="12.75">
      <c r="A12" t="s">
        <v>7</v>
      </c>
      <c r="B12">
        <v>0.365523618598396</v>
      </c>
      <c r="C12">
        <v>0.063177</v>
      </c>
      <c r="D12">
        <v>5.7857</v>
      </c>
    </row>
    <row r="13" spans="1:4" ht="12.75">
      <c r="A13" t="s">
        <v>8</v>
      </c>
      <c r="B13">
        <v>-0.0951686458362446</v>
      </c>
      <c r="C13">
        <v>0.067219</v>
      </c>
      <c r="D13">
        <v>-1.4158</v>
      </c>
    </row>
    <row r="14" spans="1:4" ht="12.75">
      <c r="A14" t="s">
        <v>9</v>
      </c>
      <c r="B14">
        <v>-0.316403292082673</v>
      </c>
      <c r="C14">
        <v>0.0727</v>
      </c>
      <c r="D14">
        <v>-4.3522</v>
      </c>
    </row>
    <row r="15" spans="1:4" ht="12.75">
      <c r="A15" t="s">
        <v>10</v>
      </c>
      <c r="B15">
        <v>-0.11131430511698</v>
      </c>
      <c r="C15">
        <v>0.082467</v>
      </c>
      <c r="D15">
        <v>-1.3498</v>
      </c>
    </row>
    <row r="16" spans="1:4" ht="12.75">
      <c r="A16" t="s">
        <v>11</v>
      </c>
      <c r="B16">
        <v>-0.0714026071262737</v>
      </c>
      <c r="C16">
        <v>0.053841</v>
      </c>
      <c r="D16">
        <v>-1.3262</v>
      </c>
    </row>
    <row r="17" spans="1:4" ht="12.75">
      <c r="A17" t="s">
        <v>12</v>
      </c>
      <c r="B17">
        <v>-0.077838138582185</v>
      </c>
      <c r="C17">
        <v>0.068983</v>
      </c>
      <c r="D17">
        <v>-1.1284</v>
      </c>
    </row>
    <row r="18" spans="1:4" ht="12.75">
      <c r="A18" t="s">
        <v>13</v>
      </c>
      <c r="B18">
        <v>-0.242638415143262</v>
      </c>
      <c r="C18">
        <v>0.1169</v>
      </c>
      <c r="D18">
        <v>-2.0756</v>
      </c>
    </row>
    <row r="19" spans="1:4" ht="12.75">
      <c r="A19" t="s">
        <v>14</v>
      </c>
      <c r="B19">
        <v>0.0129395648764548</v>
      </c>
      <c r="C19">
        <v>0.073661</v>
      </c>
      <c r="D19">
        <v>0.17566</v>
      </c>
    </row>
    <row r="20" spans="1:4" ht="12.75">
      <c r="A20" t="s">
        <v>15</v>
      </c>
      <c r="B20">
        <v>0.198853774621012</v>
      </c>
      <c r="C20">
        <v>0.076236</v>
      </c>
      <c r="D20">
        <v>2.6084</v>
      </c>
    </row>
    <row r="21" spans="1:4" ht="12.75">
      <c r="A21" t="s">
        <v>16</v>
      </c>
      <c r="B21">
        <v>-0.070586920953156</v>
      </c>
      <c r="C21">
        <v>0.065185</v>
      </c>
      <c r="D21">
        <v>-1.0829</v>
      </c>
    </row>
    <row r="22" spans="1:4" ht="12.75">
      <c r="A22" t="s">
        <v>17</v>
      </c>
      <c r="B22">
        <v>0.148087601444258</v>
      </c>
      <c r="C22">
        <v>0.084976</v>
      </c>
      <c r="D22">
        <v>1.7427</v>
      </c>
    </row>
    <row r="23" spans="1:4" ht="12.75">
      <c r="A23" t="s">
        <v>18</v>
      </c>
      <c r="B23">
        <v>-0.200005504333134</v>
      </c>
      <c r="C23">
        <v>0.076945</v>
      </c>
      <c r="D23">
        <v>-2.5993</v>
      </c>
    </row>
    <row r="24" spans="1:4" ht="12.75">
      <c r="A24" t="s">
        <v>19</v>
      </c>
      <c r="B24">
        <v>-0.474366903364891</v>
      </c>
      <c r="C24">
        <v>0.072369</v>
      </c>
      <c r="D24">
        <v>-6.5549</v>
      </c>
    </row>
    <row r="25" spans="1:4" ht="12.75">
      <c r="A25" t="s">
        <v>20</v>
      </c>
      <c r="B25">
        <v>0.294735024997149</v>
      </c>
      <c r="C25">
        <v>0.081223</v>
      </c>
      <c r="D25">
        <v>3.6287</v>
      </c>
    </row>
    <row r="26" spans="1:4" ht="12.75">
      <c r="A26" t="s">
        <v>21</v>
      </c>
      <c r="B26">
        <v>-0.15301731165951</v>
      </c>
      <c r="C26">
        <v>0.069277</v>
      </c>
      <c r="D26">
        <v>-2.2088</v>
      </c>
    </row>
    <row r="27" spans="1:4" ht="12.75">
      <c r="A27" t="s">
        <v>22</v>
      </c>
      <c r="B27">
        <v>0.337280103229786</v>
      </c>
      <c r="C27">
        <v>0.078119</v>
      </c>
      <c r="D27">
        <v>4.3175</v>
      </c>
    </row>
    <row r="28" spans="1:4" ht="12.75">
      <c r="A28" t="s">
        <v>23</v>
      </c>
      <c r="B28">
        <v>0.524459452822349</v>
      </c>
      <c r="C28">
        <v>0.060305</v>
      </c>
      <c r="D28">
        <v>8.6967</v>
      </c>
    </row>
    <row r="29" spans="1:4" ht="12.75">
      <c r="A29" t="s">
        <v>24</v>
      </c>
      <c r="B29">
        <v>0.682127342180069</v>
      </c>
      <c r="C29">
        <v>0.083215</v>
      </c>
      <c r="D29">
        <v>8.1972</v>
      </c>
    </row>
    <row r="30" spans="1:4" ht="12.75">
      <c r="A30" t="s">
        <v>25</v>
      </c>
      <c r="B30">
        <v>0.76302464532465</v>
      </c>
      <c r="C30">
        <v>0.17115</v>
      </c>
      <c r="D30">
        <v>4.4582</v>
      </c>
    </row>
    <row r="31" spans="1:4" ht="12.75">
      <c r="A31" t="s">
        <v>26</v>
      </c>
      <c r="B31">
        <v>-0.0292895995185561</v>
      </c>
      <c r="C31">
        <v>0.021181</v>
      </c>
      <c r="D31">
        <v>-1.3828</v>
      </c>
    </row>
    <row r="32" spans="1:4" ht="12.75">
      <c r="A32" t="s">
        <v>27</v>
      </c>
      <c r="B32">
        <v>0.00511379460268401</v>
      </c>
      <c r="C32">
        <v>0.0015758</v>
      </c>
      <c r="D32">
        <v>3.2452</v>
      </c>
    </row>
    <row r="33" spans="1:4" ht="12.75">
      <c r="A33" t="s">
        <v>28</v>
      </c>
      <c r="B33" s="1">
        <v>-9.56593082288177E-05</v>
      </c>
      <c r="C33" s="1">
        <v>2.9949E-05</v>
      </c>
      <c r="D33">
        <v>-3.194</v>
      </c>
    </row>
    <row r="34" spans="1:4" ht="12.75">
      <c r="A34" t="s">
        <v>29</v>
      </c>
      <c r="B34">
        <v>-4.2098771198283</v>
      </c>
      <c r="C34">
        <v>1.2875</v>
      </c>
      <c r="D34">
        <v>-3.2699</v>
      </c>
    </row>
    <row r="35" spans="1:4" ht="12.75">
      <c r="A35" t="s">
        <v>30</v>
      </c>
      <c r="B35">
        <v>0.529936019870722</v>
      </c>
      <c r="C35">
        <v>0.21714</v>
      </c>
      <c r="D35">
        <v>2.4406</v>
      </c>
    </row>
    <row r="36" spans="1:4" ht="12.75">
      <c r="A36" t="s">
        <v>31</v>
      </c>
      <c r="B36">
        <v>3.24325785442056</v>
      </c>
      <c r="C36">
        <v>0.54674</v>
      </c>
      <c r="D36">
        <v>5.932</v>
      </c>
    </row>
    <row r="37" spans="1:4" ht="12.75">
      <c r="A37" t="s">
        <v>32</v>
      </c>
      <c r="B37">
        <v>-0.53266008520054</v>
      </c>
      <c r="C37">
        <v>0.076438</v>
      </c>
      <c r="D37">
        <v>-6.9685</v>
      </c>
    </row>
    <row r="38" spans="1:4" ht="12.75">
      <c r="A38" t="s">
        <v>33</v>
      </c>
      <c r="B38">
        <v>-4.4534261091057</v>
      </c>
      <c r="C38">
        <v>0.25287</v>
      </c>
      <c r="D38">
        <v>-17.612</v>
      </c>
    </row>
    <row r="39" spans="1:4" ht="12.75">
      <c r="A39" t="s">
        <v>34</v>
      </c>
      <c r="B39">
        <v>6.06204688878018</v>
      </c>
      <c r="C39">
        <v>1.7858</v>
      </c>
      <c r="D39">
        <v>3.3946</v>
      </c>
    </row>
    <row r="40" spans="1:4" ht="12.75">
      <c r="A40" t="s">
        <v>35</v>
      </c>
      <c r="B40">
        <v>1.78767426595833</v>
      </c>
      <c r="C40">
        <v>0.89791</v>
      </c>
      <c r="D40">
        <v>1.9909</v>
      </c>
    </row>
    <row r="41" spans="1:4" ht="12.75">
      <c r="A41" t="s">
        <v>36</v>
      </c>
      <c r="B41">
        <v>-0.254637596723573</v>
      </c>
      <c r="C41">
        <v>0.13933</v>
      </c>
      <c r="D41">
        <v>-1.8276</v>
      </c>
    </row>
    <row r="42" spans="1:4" ht="12.75">
      <c r="A42" t="s">
        <v>37</v>
      </c>
      <c r="B42">
        <v>0.0119118394506907</v>
      </c>
      <c r="C42">
        <v>0.0068189</v>
      </c>
      <c r="D42">
        <v>1.7469</v>
      </c>
    </row>
    <row r="43" spans="1:4" ht="12.75">
      <c r="A43" t="s">
        <v>38</v>
      </c>
      <c r="B43">
        <v>8.61487582298152</v>
      </c>
      <c r="C43">
        <v>11.782</v>
      </c>
      <c r="D43">
        <v>0.73121</v>
      </c>
    </row>
    <row r="44" spans="1:4" ht="12.75">
      <c r="A44" t="s">
        <v>39</v>
      </c>
      <c r="B44">
        <v>-34.1862099217822</v>
      </c>
      <c r="C44">
        <v>16.94</v>
      </c>
      <c r="D44">
        <v>-2.0181</v>
      </c>
    </row>
    <row r="45" spans="1:4" ht="12.75">
      <c r="A45" t="s">
        <v>40</v>
      </c>
      <c r="B45">
        <v>-0.703346447279488</v>
      </c>
      <c r="C45">
        <v>1.9226</v>
      </c>
      <c r="D45">
        <v>-0.36582</v>
      </c>
    </row>
    <row r="46" spans="1:4" ht="12.75">
      <c r="A46" t="s">
        <v>41</v>
      </c>
      <c r="B46">
        <v>-6.01232209088049</v>
      </c>
      <c r="C46">
        <v>8.352</v>
      </c>
      <c r="D46">
        <v>-0.71986</v>
      </c>
    </row>
    <row r="47" spans="1:4" ht="12.75">
      <c r="A47" t="s">
        <v>42</v>
      </c>
      <c r="B47">
        <v>22.7569268196007</v>
      </c>
      <c r="C47">
        <v>12.111</v>
      </c>
      <c r="D47">
        <v>1.8791</v>
      </c>
    </row>
    <row r="48" spans="1:4" ht="12.75">
      <c r="A48" t="s">
        <v>43</v>
      </c>
      <c r="B48">
        <v>0.895003208962004</v>
      </c>
      <c r="C48">
        <v>1.3962</v>
      </c>
      <c r="D48">
        <v>0.64103</v>
      </c>
    </row>
    <row r="49" spans="1:4" ht="12.75">
      <c r="A49" t="s">
        <v>44</v>
      </c>
      <c r="B49">
        <v>-3.40384747978618</v>
      </c>
      <c r="C49">
        <v>1.9976</v>
      </c>
      <c r="D49">
        <v>-1.7039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G57" sqref="G57"/>
    </sheetView>
  </sheetViews>
  <sheetFormatPr defaultColWidth="9.140625" defaultRowHeight="12.75"/>
  <cols>
    <col min="1" max="1" width="54.28125" style="0" customWidth="1"/>
    <col min="7" max="7" width="9.00390625" style="0" bestFit="1" customWidth="1"/>
    <col min="10" max="10" width="12.7109375" style="0" bestFit="1" customWidth="1"/>
  </cols>
  <sheetData>
    <row r="1" ht="12.75">
      <c r="A1" s="2" t="s">
        <v>120</v>
      </c>
    </row>
    <row r="4" spans="1:9" ht="12.75">
      <c r="A4" s="2" t="s">
        <v>55</v>
      </c>
      <c r="B4" s="3" t="s">
        <v>52</v>
      </c>
      <c r="C4" s="3" t="s">
        <v>53</v>
      </c>
      <c r="D4" s="3" t="s">
        <v>54</v>
      </c>
      <c r="F4" s="3" t="s">
        <v>64</v>
      </c>
      <c r="G4" s="3" t="s">
        <v>70</v>
      </c>
      <c r="I4" s="3" t="s">
        <v>72</v>
      </c>
    </row>
    <row r="5" spans="1:7" ht="12.75">
      <c r="A5" t="s">
        <v>0</v>
      </c>
      <c r="B5">
        <f>Coeff!B5</f>
        <v>-17.2725220306288</v>
      </c>
      <c r="C5">
        <f>Coeff!C5</f>
        <v>2.769</v>
      </c>
      <c r="D5">
        <f>Coeff!D5</f>
        <v>-6.2379</v>
      </c>
      <c r="E5">
        <f>IF(A5&lt;&gt;Coeff!A5,"error","")</f>
      </c>
      <c r="F5">
        <v>1</v>
      </c>
      <c r="G5">
        <f>B5*F5</f>
        <v>-17.2725220306288</v>
      </c>
    </row>
    <row r="6" spans="1:9" ht="12.75">
      <c r="A6" t="s">
        <v>49</v>
      </c>
      <c r="B6">
        <v>0</v>
      </c>
      <c r="F6">
        <f>IF("year:"&amp;Values!E$31=Calculation!A6,1,0)</f>
        <v>0</v>
      </c>
      <c r="G6">
        <f aca="true" t="shared" si="0" ref="G6:G53">B6*F6</f>
        <v>0</v>
      </c>
      <c r="I6">
        <f>SUM(F6:F15)</f>
        <v>1</v>
      </c>
    </row>
    <row r="7" spans="1:7" ht="12.75">
      <c r="A7" t="s">
        <v>1</v>
      </c>
      <c r="B7">
        <f>Coeff!B6</f>
        <v>0.20353044930273</v>
      </c>
      <c r="C7">
        <f>Coeff!C6</f>
        <v>0.066016</v>
      </c>
      <c r="D7">
        <f>Coeff!D6</f>
        <v>3.083</v>
      </c>
      <c r="E7">
        <f>IF(A7&lt;&gt;Coeff!A6,"error","")</f>
      </c>
      <c r="F7">
        <f>IF("year:"&amp;Values!E$31=Calculation!A7,1,0)</f>
        <v>0</v>
      </c>
      <c r="G7">
        <f t="shared" si="0"/>
        <v>0</v>
      </c>
    </row>
    <row r="8" spans="1:7" ht="12.75">
      <c r="A8" t="s">
        <v>2</v>
      </c>
      <c r="B8">
        <f>Coeff!B7</f>
        <v>0.255531294372963</v>
      </c>
      <c r="C8">
        <f>Coeff!C7</f>
        <v>0.06629</v>
      </c>
      <c r="D8">
        <f>Coeff!D7</f>
        <v>3.8548</v>
      </c>
      <c r="E8">
        <f>IF(A8&lt;&gt;Coeff!A7,"error","")</f>
      </c>
      <c r="F8">
        <f>IF("year:"&amp;Values!E$31=Calculation!A8,1,0)</f>
        <v>0</v>
      </c>
      <c r="G8">
        <f t="shared" si="0"/>
        <v>0</v>
      </c>
    </row>
    <row r="9" spans="1:7" ht="12.75">
      <c r="A9" t="s">
        <v>3</v>
      </c>
      <c r="B9">
        <f>Coeff!B8</f>
        <v>0.172716529019058</v>
      </c>
      <c r="C9">
        <f>Coeff!C8</f>
        <v>0.065745</v>
      </c>
      <c r="D9">
        <f>Coeff!D8</f>
        <v>2.6271</v>
      </c>
      <c r="E9">
        <f>IF(A9&lt;&gt;Coeff!A8,"error","")</f>
      </c>
      <c r="F9">
        <f>IF("year:"&amp;Values!E$31=Calculation!A9,1,0)</f>
        <v>0</v>
      </c>
      <c r="G9">
        <f t="shared" si="0"/>
        <v>0</v>
      </c>
    </row>
    <row r="10" spans="1:7" ht="12.75">
      <c r="A10" t="s">
        <v>4</v>
      </c>
      <c r="B10">
        <f>Coeff!B9</f>
        <v>0.29843471044497</v>
      </c>
      <c r="C10">
        <f>Coeff!C9</f>
        <v>0.063825</v>
      </c>
      <c r="D10">
        <f>Coeff!D9</f>
        <v>4.6758</v>
      </c>
      <c r="E10">
        <f>IF(A10&lt;&gt;Coeff!A9,"error","")</f>
      </c>
      <c r="F10">
        <f>IF("year:"&amp;Values!E$31=Calculation!A10,1,0)</f>
        <v>0</v>
      </c>
      <c r="G10">
        <f t="shared" si="0"/>
        <v>0</v>
      </c>
    </row>
    <row r="11" spans="1:7" ht="12.75">
      <c r="A11" t="s">
        <v>5</v>
      </c>
      <c r="B11">
        <f>Coeff!B10</f>
        <v>0.224584485586385</v>
      </c>
      <c r="C11">
        <f>Coeff!C10</f>
        <v>0.064414</v>
      </c>
      <c r="D11">
        <f>Coeff!D10</f>
        <v>3.4866</v>
      </c>
      <c r="E11">
        <f>IF(A11&lt;&gt;Coeff!A10,"error","")</f>
      </c>
      <c r="F11">
        <f>IF("year:"&amp;Values!E$31=Calculation!A11,1,0)</f>
        <v>0</v>
      </c>
      <c r="G11">
        <f t="shared" si="0"/>
        <v>0</v>
      </c>
    </row>
    <row r="12" spans="1:7" ht="12.75">
      <c r="A12" t="s">
        <v>6</v>
      </c>
      <c r="B12">
        <f>Coeff!B11</f>
        <v>0.24450864341311</v>
      </c>
      <c r="C12">
        <f>Coeff!C11</f>
        <v>0.06402</v>
      </c>
      <c r="D12">
        <f>Coeff!D11</f>
        <v>3.8193</v>
      </c>
      <c r="E12">
        <f>IF(A12&lt;&gt;Coeff!A11,"error","")</f>
      </c>
      <c r="F12">
        <f>IF("year:"&amp;Values!E$31=Calculation!A12,1,0)</f>
        <v>0</v>
      </c>
      <c r="G12">
        <f t="shared" si="0"/>
        <v>0</v>
      </c>
    </row>
    <row r="13" spans="1:7" ht="12.75">
      <c r="A13" t="s">
        <v>7</v>
      </c>
      <c r="B13">
        <f>Coeff!B12</f>
        <v>0.365523618598396</v>
      </c>
      <c r="C13">
        <f>Coeff!C12</f>
        <v>0.063177</v>
      </c>
      <c r="D13">
        <f>Coeff!D12</f>
        <v>5.7857</v>
      </c>
      <c r="E13">
        <f>IF(A13&lt;&gt;Coeff!A12,"error","")</f>
      </c>
      <c r="F13">
        <f>IF("year:"&amp;Values!E$31=Calculation!A13,1,0)</f>
        <v>0</v>
      </c>
      <c r="G13">
        <f t="shared" si="0"/>
        <v>0</v>
      </c>
    </row>
    <row r="14" spans="1:7" ht="12.75">
      <c r="A14" t="s">
        <v>8</v>
      </c>
      <c r="B14">
        <f>Coeff!B13</f>
        <v>-0.0951686458362446</v>
      </c>
      <c r="C14">
        <f>Coeff!C13</f>
        <v>0.067219</v>
      </c>
      <c r="D14">
        <f>Coeff!D13</f>
        <v>-1.4158</v>
      </c>
      <c r="E14">
        <f>IF(A14&lt;&gt;Coeff!A13,"error","")</f>
      </c>
      <c r="F14">
        <f>IF("year:"&amp;Values!E$31=Calculation!A14,1,0)</f>
        <v>1</v>
      </c>
      <c r="G14">
        <f t="shared" si="0"/>
        <v>-0.0951686458362446</v>
      </c>
    </row>
    <row r="15" spans="1:7" ht="12.75">
      <c r="A15" t="s">
        <v>9</v>
      </c>
      <c r="B15">
        <f>Coeff!B14</f>
        <v>-0.316403292082673</v>
      </c>
      <c r="C15">
        <f>Coeff!C14</f>
        <v>0.0727</v>
      </c>
      <c r="D15">
        <f>Coeff!D14</f>
        <v>-4.3522</v>
      </c>
      <c r="E15">
        <f>IF(A15&lt;&gt;Coeff!A14,"error","")</f>
      </c>
      <c r="F15">
        <f>IF("year:"&amp;Values!E$31=Calculation!A15,1,0)</f>
        <v>0</v>
      </c>
      <c r="G15">
        <f t="shared" si="0"/>
        <v>0</v>
      </c>
    </row>
    <row r="16" spans="1:9" ht="12.75">
      <c r="A16" t="s">
        <v>50</v>
      </c>
      <c r="B16">
        <v>0</v>
      </c>
      <c r="F16">
        <f>IF("region:"&amp;Values!E$32=Calculation!A16,1,0)</f>
        <v>0</v>
      </c>
      <c r="G16">
        <f t="shared" si="0"/>
        <v>0</v>
      </c>
      <c r="I16">
        <f>SUM(F16:F29)</f>
        <v>1</v>
      </c>
    </row>
    <row r="17" spans="1:7" ht="12.75">
      <c r="A17" t="s">
        <v>10</v>
      </c>
      <c r="B17">
        <f>Coeff!B15</f>
        <v>-0.11131430511698</v>
      </c>
      <c r="C17">
        <f>Coeff!C15</f>
        <v>0.082467</v>
      </c>
      <c r="D17">
        <f>Coeff!D15</f>
        <v>-1.3498</v>
      </c>
      <c r="E17">
        <f>IF(A17&lt;&gt;Coeff!A15,"error","")</f>
      </c>
      <c r="F17">
        <f>IF("region:"&amp;Values!E$32=Calculation!A17,1,0)</f>
        <v>0</v>
      </c>
      <c r="G17">
        <f t="shared" si="0"/>
        <v>0</v>
      </c>
    </row>
    <row r="18" spans="1:7" ht="12.75">
      <c r="A18" t="s">
        <v>11</v>
      </c>
      <c r="B18">
        <f>Coeff!B16</f>
        <v>-0.0714026071262737</v>
      </c>
      <c r="C18">
        <f>Coeff!C16</f>
        <v>0.053841</v>
      </c>
      <c r="D18">
        <f>Coeff!D16</f>
        <v>-1.3262</v>
      </c>
      <c r="E18">
        <f>IF(A18&lt;&gt;Coeff!A16,"error","")</f>
      </c>
      <c r="F18">
        <f>IF("region:"&amp;Values!E$32=Calculation!A18,1,0)</f>
        <v>1</v>
      </c>
      <c r="G18">
        <f t="shared" si="0"/>
        <v>-0.0714026071262737</v>
      </c>
    </row>
    <row r="19" spans="1:7" ht="12.75">
      <c r="A19" t="s">
        <v>12</v>
      </c>
      <c r="B19">
        <f>Coeff!B17</f>
        <v>-0.077838138582185</v>
      </c>
      <c r="C19">
        <f>Coeff!C17</f>
        <v>0.068983</v>
      </c>
      <c r="D19">
        <f>Coeff!D17</f>
        <v>-1.1284</v>
      </c>
      <c r="E19">
        <f>IF(A19&lt;&gt;Coeff!A17,"error","")</f>
      </c>
      <c r="F19">
        <f>IF("region:"&amp;Values!E$32=Calculation!A19,1,0)</f>
        <v>0</v>
      </c>
      <c r="G19">
        <f t="shared" si="0"/>
        <v>0</v>
      </c>
    </row>
    <row r="20" spans="1:7" ht="12.75">
      <c r="A20" t="s">
        <v>13</v>
      </c>
      <c r="B20">
        <f>Coeff!B18</f>
        <v>-0.242638415143262</v>
      </c>
      <c r="C20">
        <f>Coeff!C18</f>
        <v>0.1169</v>
      </c>
      <c r="D20">
        <f>Coeff!D18</f>
        <v>-2.0756</v>
      </c>
      <c r="E20">
        <f>IF(A20&lt;&gt;Coeff!A18,"error","")</f>
      </c>
      <c r="F20">
        <f>IF("region:"&amp;Values!E$32=Calculation!A20,1,0)</f>
        <v>0</v>
      </c>
      <c r="G20">
        <f t="shared" si="0"/>
        <v>0</v>
      </c>
    </row>
    <row r="21" spans="1:7" ht="12.75">
      <c r="A21" t="s">
        <v>14</v>
      </c>
      <c r="B21">
        <f>Coeff!B19</f>
        <v>0.0129395648764548</v>
      </c>
      <c r="C21">
        <f>Coeff!C19</f>
        <v>0.073661</v>
      </c>
      <c r="D21">
        <f>Coeff!D19</f>
        <v>0.17566</v>
      </c>
      <c r="E21">
        <f>IF(A21&lt;&gt;Coeff!A19,"error","")</f>
      </c>
      <c r="F21">
        <f>IF("region:"&amp;Values!E$32=Calculation!A21,1,0)</f>
        <v>0</v>
      </c>
      <c r="G21">
        <f t="shared" si="0"/>
        <v>0</v>
      </c>
    </row>
    <row r="22" spans="1:7" ht="12.75">
      <c r="A22" t="s">
        <v>15</v>
      </c>
      <c r="B22">
        <f>Coeff!B20</f>
        <v>0.198853774621012</v>
      </c>
      <c r="C22">
        <f>Coeff!C20</f>
        <v>0.076236</v>
      </c>
      <c r="D22">
        <f>Coeff!D20</f>
        <v>2.6084</v>
      </c>
      <c r="E22">
        <f>IF(A22&lt;&gt;Coeff!A20,"error","")</f>
      </c>
      <c r="F22">
        <f>IF("region:"&amp;Values!E$32=Calculation!A22,1,0)</f>
        <v>0</v>
      </c>
      <c r="G22">
        <f t="shared" si="0"/>
        <v>0</v>
      </c>
    </row>
    <row r="23" spans="1:7" ht="12.75">
      <c r="A23" t="s">
        <v>16</v>
      </c>
      <c r="B23">
        <f>Coeff!B21</f>
        <v>-0.070586920953156</v>
      </c>
      <c r="C23">
        <f>Coeff!C21</f>
        <v>0.065185</v>
      </c>
      <c r="D23">
        <f>Coeff!D21</f>
        <v>-1.0829</v>
      </c>
      <c r="E23">
        <f>IF(A23&lt;&gt;Coeff!A21,"error","")</f>
      </c>
      <c r="F23">
        <f>IF("region:"&amp;Values!E$32=Calculation!A23,1,0)</f>
        <v>0</v>
      </c>
      <c r="G23">
        <f t="shared" si="0"/>
        <v>0</v>
      </c>
    </row>
    <row r="24" spans="1:7" ht="12.75">
      <c r="A24" t="s">
        <v>17</v>
      </c>
      <c r="B24">
        <f>Coeff!B22</f>
        <v>0.148087601444258</v>
      </c>
      <c r="C24">
        <f>Coeff!C22</f>
        <v>0.084976</v>
      </c>
      <c r="D24">
        <f>Coeff!D22</f>
        <v>1.7427</v>
      </c>
      <c r="E24">
        <f>IF(A24&lt;&gt;Coeff!A22,"error","")</f>
      </c>
      <c r="F24">
        <f>IF("region:"&amp;Values!E$32=Calculation!A24,1,0)</f>
        <v>0</v>
      </c>
      <c r="G24">
        <f t="shared" si="0"/>
        <v>0</v>
      </c>
    </row>
    <row r="25" spans="1:7" ht="12.75">
      <c r="A25" t="s">
        <v>18</v>
      </c>
      <c r="B25">
        <f>Coeff!B23</f>
        <v>-0.200005504333134</v>
      </c>
      <c r="C25">
        <f>Coeff!C23</f>
        <v>0.076945</v>
      </c>
      <c r="D25">
        <f>Coeff!D23</f>
        <v>-2.5993</v>
      </c>
      <c r="E25">
        <f>IF(A25&lt;&gt;Coeff!A23,"error","")</f>
      </c>
      <c r="F25">
        <f>IF("region:"&amp;Values!E$32=Calculation!A25,1,0)</f>
        <v>0</v>
      </c>
      <c r="G25">
        <f t="shared" si="0"/>
        <v>0</v>
      </c>
    </row>
    <row r="26" spans="1:7" ht="12.75">
      <c r="A26" t="s">
        <v>19</v>
      </c>
      <c r="B26">
        <f>Coeff!B24</f>
        <v>-0.474366903364891</v>
      </c>
      <c r="C26">
        <f>Coeff!C24</f>
        <v>0.072369</v>
      </c>
      <c r="D26">
        <f>Coeff!D24</f>
        <v>-6.5549</v>
      </c>
      <c r="E26">
        <f>IF(A26&lt;&gt;Coeff!A24,"error","")</f>
      </c>
      <c r="F26">
        <f>IF("region:"&amp;Values!E$32=Calculation!A26,1,0)</f>
        <v>0</v>
      </c>
      <c r="G26">
        <f t="shared" si="0"/>
        <v>0</v>
      </c>
    </row>
    <row r="27" spans="1:7" ht="12.75">
      <c r="A27" t="s">
        <v>20</v>
      </c>
      <c r="B27">
        <f>Coeff!B25</f>
        <v>0.294735024997149</v>
      </c>
      <c r="C27">
        <f>Coeff!C25</f>
        <v>0.081223</v>
      </c>
      <c r="D27">
        <f>Coeff!D25</f>
        <v>3.6287</v>
      </c>
      <c r="E27">
        <f>IF(A27&lt;&gt;Coeff!A25,"error","")</f>
      </c>
      <c r="F27">
        <f>IF("region:"&amp;Values!E$32=Calculation!A27,1,0)</f>
        <v>0</v>
      </c>
      <c r="G27">
        <f t="shared" si="0"/>
        <v>0</v>
      </c>
    </row>
    <row r="28" spans="1:7" ht="12.75">
      <c r="A28" t="s">
        <v>21</v>
      </c>
      <c r="B28">
        <f>Coeff!B26</f>
        <v>-0.15301731165951</v>
      </c>
      <c r="C28">
        <f>Coeff!C26</f>
        <v>0.069277</v>
      </c>
      <c r="D28">
        <f>Coeff!D26</f>
        <v>-2.2088</v>
      </c>
      <c r="E28">
        <f>IF(A28&lt;&gt;Coeff!A26,"error","")</f>
      </c>
      <c r="F28">
        <f>IF("region:"&amp;Values!E$32=Calculation!A28,1,0)</f>
        <v>0</v>
      </c>
      <c r="G28">
        <f t="shared" si="0"/>
        <v>0</v>
      </c>
    </row>
    <row r="29" spans="1:7" ht="12.75">
      <c r="A29" t="s">
        <v>22</v>
      </c>
      <c r="B29">
        <f>Coeff!B27</f>
        <v>0.337280103229786</v>
      </c>
      <c r="C29">
        <f>Coeff!C27</f>
        <v>0.078119</v>
      </c>
      <c r="D29">
        <f>Coeff!D27</f>
        <v>4.3175</v>
      </c>
      <c r="E29">
        <f>IF(A29&lt;&gt;Coeff!A27,"error","")</f>
      </c>
      <c r="F29">
        <f>IF("region:"&amp;Values!E$32=Calculation!A29,1,0)</f>
        <v>0</v>
      </c>
      <c r="G29">
        <f t="shared" si="0"/>
        <v>0</v>
      </c>
    </row>
    <row r="30" spans="1:9" ht="12.75">
      <c r="A30" t="s">
        <v>51</v>
      </c>
      <c r="B30">
        <v>0</v>
      </c>
      <c r="F30">
        <f>IF("urban_rural:"&amp;Values!E$33=Calculation!A30,1,0)</f>
        <v>0</v>
      </c>
      <c r="G30">
        <f t="shared" si="0"/>
        <v>0</v>
      </c>
      <c r="I30">
        <f>SUM(F30:F31)</f>
        <v>1</v>
      </c>
    </row>
    <row r="31" spans="1:7" ht="12.75">
      <c r="A31" t="s">
        <v>23</v>
      </c>
      <c r="B31">
        <f>Coeff!B28</f>
        <v>0.524459452822349</v>
      </c>
      <c r="C31">
        <f>Coeff!C28</f>
        <v>0.060305</v>
      </c>
      <c r="D31">
        <f>Coeff!D28</f>
        <v>8.6967</v>
      </c>
      <c r="E31">
        <f>IF(A31&lt;&gt;Coeff!A28,"error","")</f>
      </c>
      <c r="F31">
        <f>IF("urban_rural:"&amp;Values!E$33=Calculation!A31,1,0)</f>
        <v>1</v>
      </c>
      <c r="G31">
        <f t="shared" si="0"/>
        <v>0.524459452822349</v>
      </c>
    </row>
    <row r="32" spans="1:9" ht="12.75">
      <c r="A32" t="s">
        <v>69</v>
      </c>
      <c r="B32">
        <v>0</v>
      </c>
      <c r="F32">
        <f>IF("adj_skid_site:"&amp;Values!E$34=Calculation!A32,1,0)</f>
        <v>1</v>
      </c>
      <c r="G32">
        <f t="shared" si="0"/>
        <v>0</v>
      </c>
      <c r="I32">
        <f>SUM(F32:F34)</f>
        <v>1</v>
      </c>
    </row>
    <row r="33" spans="1:7" ht="12.75">
      <c r="A33" t="s">
        <v>24</v>
      </c>
      <c r="B33">
        <f>Coeff!B29</f>
        <v>0.682127342180069</v>
      </c>
      <c r="C33">
        <f>Coeff!C29</f>
        <v>0.083215</v>
      </c>
      <c r="D33">
        <f>Coeff!D29</f>
        <v>8.1972</v>
      </c>
      <c r="E33">
        <f>IF(A33&lt;&gt;Coeff!A29,"error","")</f>
      </c>
      <c r="F33">
        <f>IF("adj_skid_site:"&amp;Values!E$34=Calculation!A33,1,0)</f>
        <v>0</v>
      </c>
      <c r="G33">
        <f t="shared" si="0"/>
        <v>0</v>
      </c>
    </row>
    <row r="34" spans="1:7" ht="12.75">
      <c r="A34" t="s">
        <v>25</v>
      </c>
      <c r="B34">
        <f>Coeff!B30</f>
        <v>0.76302464532465</v>
      </c>
      <c r="C34">
        <f>Coeff!C30</f>
        <v>0.17115</v>
      </c>
      <c r="D34">
        <f>Coeff!D30</f>
        <v>4.4582</v>
      </c>
      <c r="E34">
        <f>IF(A34&lt;&gt;Coeff!A30,"error","")</f>
      </c>
      <c r="F34">
        <f>IF("adj_skid_site:"&amp;Values!E$34=Calculation!A34,1,0)</f>
        <v>0</v>
      </c>
      <c r="G34">
        <f t="shared" si="0"/>
        <v>0</v>
      </c>
    </row>
    <row r="35" spans="1:7" ht="12.75">
      <c r="A35" t="s">
        <v>26</v>
      </c>
      <c r="B35">
        <f>Coeff!B31</f>
        <v>-0.0292895995185561</v>
      </c>
      <c r="C35">
        <f>Coeff!C31</f>
        <v>0.021181</v>
      </c>
      <c r="D35">
        <f>Coeff!D31</f>
        <v>-1.3828</v>
      </c>
      <c r="E35">
        <f>IF(A35&lt;&gt;Coeff!A31,"error","")</f>
      </c>
      <c r="F35">
        <f>Values!E35</f>
        <v>0</v>
      </c>
      <c r="G35">
        <f t="shared" si="0"/>
        <v>0</v>
      </c>
    </row>
    <row r="36" spans="1:7" ht="12.75">
      <c r="A36" t="s">
        <v>27</v>
      </c>
      <c r="B36">
        <f>Coeff!B32</f>
        <v>0.00511379460268401</v>
      </c>
      <c r="C36">
        <f>Coeff!C32</f>
        <v>0.0015758</v>
      </c>
      <c r="D36">
        <f>Coeff!D32</f>
        <v>3.2452</v>
      </c>
      <c r="E36">
        <f>IF(A36&lt;&gt;Coeff!A32,"error","")</f>
      </c>
      <c r="F36">
        <f>F35^2</f>
        <v>0</v>
      </c>
      <c r="G36">
        <f t="shared" si="0"/>
        <v>0</v>
      </c>
    </row>
    <row r="37" spans="1:7" ht="12.75">
      <c r="A37" t="s">
        <v>28</v>
      </c>
      <c r="B37">
        <f>Coeff!B33</f>
        <v>-9.56593082288177E-05</v>
      </c>
      <c r="C37">
        <f>Coeff!C33</f>
        <v>2.9949E-05</v>
      </c>
      <c r="D37">
        <f>Coeff!D33</f>
        <v>-3.194</v>
      </c>
      <c r="E37">
        <f>IF(A37&lt;&gt;Coeff!A33,"error","")</f>
      </c>
      <c r="F37">
        <f>F35^3</f>
        <v>0</v>
      </c>
      <c r="G37">
        <f t="shared" si="0"/>
        <v>0</v>
      </c>
    </row>
    <row r="38" spans="1:7" ht="12.75">
      <c r="A38" t="s">
        <v>29</v>
      </c>
      <c r="B38">
        <f>Coeff!B34</f>
        <v>-4.2098771198283</v>
      </c>
      <c r="C38">
        <f>Coeff!C34</f>
        <v>1.2875</v>
      </c>
      <c r="D38">
        <f>Coeff!D34</f>
        <v>-3.2699</v>
      </c>
      <c r="E38">
        <f>IF(A38&lt;&gt;Coeff!A34,"error","")</f>
      </c>
      <c r="F38">
        <f>Values!E36</f>
        <v>3.6989700043360187</v>
      </c>
      <c r="G38">
        <f t="shared" si="0"/>
        <v>-15.572209188185392</v>
      </c>
    </row>
    <row r="39" spans="1:7" ht="12.75">
      <c r="A39" t="s">
        <v>30</v>
      </c>
      <c r="B39">
        <f>Coeff!B35</f>
        <v>0.529936019870722</v>
      </c>
      <c r="C39">
        <f>Coeff!C35</f>
        <v>0.21714</v>
      </c>
      <c r="D39">
        <f>Coeff!D35</f>
        <v>2.4406</v>
      </c>
      <c r="E39">
        <f>IF(A39&lt;&gt;Coeff!A35,"error","")</f>
      </c>
      <c r="F39">
        <f>F38^2</f>
        <v>13.682379092977607</v>
      </c>
      <c r="G39">
        <f t="shared" si="0"/>
        <v>7.250785518894933</v>
      </c>
    </row>
    <row r="40" spans="1:7" ht="12.75">
      <c r="A40" t="s">
        <v>31</v>
      </c>
      <c r="B40">
        <f>Coeff!B36</f>
        <v>3.24325785442056</v>
      </c>
      <c r="C40">
        <f>Coeff!C36</f>
        <v>0.54674</v>
      </c>
      <c r="D40">
        <f>Coeff!D36</f>
        <v>5.932</v>
      </c>
      <c r="E40">
        <f>IF(A40&lt;&gt;Coeff!A36,"error","")</f>
      </c>
      <c r="F40">
        <f>Values!E37</f>
        <v>3</v>
      </c>
      <c r="G40">
        <f t="shared" si="0"/>
        <v>9.72977356326168</v>
      </c>
    </row>
    <row r="41" spans="1:7" ht="12.75">
      <c r="A41" t="s">
        <v>32</v>
      </c>
      <c r="B41">
        <f>Coeff!B37</f>
        <v>-0.53266008520054</v>
      </c>
      <c r="C41">
        <f>Coeff!C37</f>
        <v>0.076438</v>
      </c>
      <c r="D41">
        <f>Coeff!D37</f>
        <v>-6.9685</v>
      </c>
      <c r="E41">
        <f>IF(A41&lt;&gt;Coeff!A37,"error","")</f>
      </c>
      <c r="F41">
        <f>F40^2</f>
        <v>9</v>
      </c>
      <c r="G41">
        <f t="shared" si="0"/>
        <v>-4.79394076680486</v>
      </c>
    </row>
    <row r="42" spans="1:7" ht="12.75">
      <c r="A42" t="s">
        <v>33</v>
      </c>
      <c r="B42">
        <f>Coeff!B38</f>
        <v>-4.4534261091057</v>
      </c>
      <c r="C42">
        <f>Coeff!C38</f>
        <v>0.25287</v>
      </c>
      <c r="D42">
        <f>Coeff!D38</f>
        <v>-17.612</v>
      </c>
      <c r="E42">
        <f>IF(A42&lt;&gt;Coeff!A38,"error","")</f>
      </c>
      <c r="F42">
        <f>Values!E38</f>
        <v>0</v>
      </c>
      <c r="G42">
        <f t="shared" si="0"/>
        <v>0</v>
      </c>
    </row>
    <row r="43" spans="1:7" ht="12.75">
      <c r="A43" t="s">
        <v>34</v>
      </c>
      <c r="B43">
        <f>Coeff!B39</f>
        <v>6.06204688878018</v>
      </c>
      <c r="C43">
        <f>Coeff!C39</f>
        <v>1.7858</v>
      </c>
      <c r="D43">
        <f>Coeff!D39</f>
        <v>3.3946</v>
      </c>
      <c r="E43">
        <f>IF(A43&lt;&gt;Coeff!A39,"error","")</f>
      </c>
      <c r="F43">
        <f>F42^2</f>
        <v>0</v>
      </c>
      <c r="G43">
        <f t="shared" si="0"/>
        <v>0</v>
      </c>
    </row>
    <row r="44" spans="1:7" ht="12.75">
      <c r="A44" t="s">
        <v>35</v>
      </c>
      <c r="B44">
        <f>Coeff!B40</f>
        <v>1.78767426595833</v>
      </c>
      <c r="C44">
        <f>Coeff!C40</f>
        <v>0.89791</v>
      </c>
      <c r="D44">
        <f>Coeff!D40</f>
        <v>1.9909</v>
      </c>
      <c r="E44">
        <f>IF(A44&lt;&gt;Coeff!A40,"error","")</f>
      </c>
      <c r="F44">
        <f>Values!E39</f>
        <v>4</v>
      </c>
      <c r="G44">
        <f t="shared" si="0"/>
        <v>7.15069706383332</v>
      </c>
    </row>
    <row r="45" spans="1:7" ht="12.75">
      <c r="A45" t="s">
        <v>36</v>
      </c>
      <c r="B45">
        <f>Coeff!B41</f>
        <v>-0.254637596723573</v>
      </c>
      <c r="C45">
        <f>Coeff!C41</f>
        <v>0.13933</v>
      </c>
      <c r="D45">
        <f>Coeff!D41</f>
        <v>-1.8276</v>
      </c>
      <c r="E45">
        <f>IF(A45&lt;&gt;Coeff!A41,"error","")</f>
      </c>
      <c r="F45">
        <f>F44^2</f>
        <v>16</v>
      </c>
      <c r="G45">
        <f t="shared" si="0"/>
        <v>-4.074201547577168</v>
      </c>
    </row>
    <row r="46" spans="1:7" ht="12.75">
      <c r="A46" t="s">
        <v>37</v>
      </c>
      <c r="B46">
        <f>Coeff!B42</f>
        <v>0.0119118394506907</v>
      </c>
      <c r="C46">
        <f>Coeff!C42</f>
        <v>0.0068189</v>
      </c>
      <c r="D46">
        <f>Coeff!D42</f>
        <v>1.7469</v>
      </c>
      <c r="E46">
        <f>IF(A46&lt;&gt;Coeff!A42,"error","")</f>
      </c>
      <c r="F46">
        <f>F44^3</f>
        <v>64</v>
      </c>
      <c r="G46">
        <f t="shared" si="0"/>
        <v>0.7623577248442048</v>
      </c>
    </row>
    <row r="47" spans="1:7" ht="12.75">
      <c r="A47" t="s">
        <v>38</v>
      </c>
      <c r="B47">
        <f>Coeff!B43</f>
        <v>8.61487582298152</v>
      </c>
      <c r="C47">
        <f>Coeff!C43</f>
        <v>11.782</v>
      </c>
      <c r="D47">
        <f>Coeff!D43</f>
        <v>0.73121</v>
      </c>
      <c r="E47">
        <f>IF(A47&lt;&gt;Coeff!A43,"error","")</f>
      </c>
      <c r="F47">
        <f>Values!E40</f>
        <v>0.29028948772491586</v>
      </c>
      <c r="G47">
        <f t="shared" si="0"/>
        <v>2.5008078894670684</v>
      </c>
    </row>
    <row r="48" spans="1:7" ht="12.75">
      <c r="A48" t="s">
        <v>39</v>
      </c>
      <c r="B48">
        <f>Coeff!B44</f>
        <v>-34.1862099217822</v>
      </c>
      <c r="C48">
        <f>Coeff!C44</f>
        <v>16.94</v>
      </c>
      <c r="D48">
        <f>Coeff!D44</f>
        <v>-2.0181</v>
      </c>
      <c r="E48">
        <f>IF(A48&lt;&gt;Coeff!A44,"error","")</f>
      </c>
      <c r="F48">
        <f>F47^2</f>
        <v>0.08426798668359407</v>
      </c>
      <c r="G48">
        <f t="shared" si="0"/>
        <v>-2.880803082451294</v>
      </c>
    </row>
    <row r="49" spans="1:7" ht="12.75">
      <c r="A49" t="s">
        <v>40</v>
      </c>
      <c r="B49">
        <f>Coeff!B45</f>
        <v>-0.703346447279488</v>
      </c>
      <c r="C49">
        <f>Coeff!C45</f>
        <v>1.9226</v>
      </c>
      <c r="D49">
        <f>Coeff!D45</f>
        <v>-0.36582</v>
      </c>
      <c r="E49">
        <f>IF(A49&lt;&gt;Coeff!A45,"error","")</f>
      </c>
      <c r="F49">
        <f>F47^3</f>
        <v>0.024462110685990555</v>
      </c>
      <c r="G49">
        <f t="shared" si="0"/>
        <v>-0.017205338643949058</v>
      </c>
    </row>
    <row r="50" spans="1:7" ht="12.75">
      <c r="A50" t="s">
        <v>41</v>
      </c>
      <c r="B50">
        <f>Coeff!B46</f>
        <v>-6.01232209088049</v>
      </c>
      <c r="C50">
        <f>Coeff!C46</f>
        <v>8.352</v>
      </c>
      <c r="D50">
        <f>Coeff!D46</f>
        <v>-0.71986</v>
      </c>
      <c r="E50">
        <f>IF(A50&lt;&gt;Coeff!A46,"error","")</f>
      </c>
      <c r="F50">
        <f>F38*F47</f>
        <v>1.0737721076685327</v>
      </c>
      <c r="G50">
        <f t="shared" si="0"/>
        <v>-6.455863763506823</v>
      </c>
    </row>
    <row r="51" spans="1:7" ht="12.75">
      <c r="A51" t="s">
        <v>42</v>
      </c>
      <c r="B51">
        <f>Coeff!B47</f>
        <v>22.7569268196007</v>
      </c>
      <c r="C51">
        <f>Coeff!C47</f>
        <v>12.111</v>
      </c>
      <c r="D51">
        <f>Coeff!D47</f>
        <v>1.8791</v>
      </c>
      <c r="E51">
        <f>IF(A51&lt;&gt;Coeff!A47,"error","")</f>
      </c>
      <c r="F51">
        <f>F38*F48</f>
        <v>0.31170475506840156</v>
      </c>
      <c r="G51">
        <f t="shared" si="0"/>
        <v>7.093442300413175</v>
      </c>
    </row>
    <row r="52" spans="1:7" ht="12.75">
      <c r="A52" t="s">
        <v>43</v>
      </c>
      <c r="B52">
        <f>Coeff!B48</f>
        <v>0.895003208962004</v>
      </c>
      <c r="C52">
        <f>Coeff!C48</f>
        <v>1.3962</v>
      </c>
      <c r="D52">
        <f>Coeff!D48</f>
        <v>0.64103</v>
      </c>
      <c r="E52">
        <f>IF(A52&lt;&gt;Coeff!A48,"error","")</f>
      </c>
      <c r="F52">
        <f>F39*F47</f>
        <v>3.9718508177585683</v>
      </c>
      <c r="G52">
        <f t="shared" si="0"/>
        <v>3.5548192274122785</v>
      </c>
    </row>
    <row r="53" spans="1:7" ht="12.75">
      <c r="A53" t="s">
        <v>44</v>
      </c>
      <c r="B53">
        <f>Coeff!B49</f>
        <v>-3.40384747978618</v>
      </c>
      <c r="C53">
        <f>Coeff!C49</f>
        <v>1.9976</v>
      </c>
      <c r="D53">
        <f>Coeff!D49</f>
        <v>-1.7039</v>
      </c>
      <c r="E53">
        <f>IF(A53&lt;&gt;Coeff!A49,"error","")</f>
      </c>
      <c r="F53">
        <f>F39*F48</f>
        <v>1.152986539206923</v>
      </c>
      <c r="G53">
        <f t="shared" si="0"/>
        <v>-3.924590325706874</v>
      </c>
    </row>
    <row r="55" spans="1:7" ht="12.75">
      <c r="A55" s="2" t="s">
        <v>71</v>
      </c>
      <c r="G55">
        <f>SUM(G5:G54)</f>
        <v>-16.59076455551867</v>
      </c>
    </row>
    <row r="57" spans="1:7" ht="12.75">
      <c r="A57" s="2" t="s">
        <v>79</v>
      </c>
      <c r="G57">
        <f>10000000000*EXP(G55)/365</f>
        <v>1.7077710160585404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27" sqref="E27"/>
    </sheetView>
  </sheetViews>
  <sheetFormatPr defaultColWidth="9.140625" defaultRowHeight="12.75"/>
  <cols>
    <col min="1" max="1" width="35.57421875" style="0" customWidth="1"/>
    <col min="2" max="2" width="11.8515625" style="0" customWidth="1"/>
    <col min="5" max="5" width="10.140625" style="0" customWidth="1"/>
  </cols>
  <sheetData>
    <row r="1" ht="12.75">
      <c r="A1" s="2" t="s">
        <v>121</v>
      </c>
    </row>
    <row r="4" spans="1:6" ht="12.75">
      <c r="A4" s="2" t="s">
        <v>85</v>
      </c>
      <c r="B4" s="3" t="s">
        <v>87</v>
      </c>
      <c r="C4" s="3" t="s">
        <v>89</v>
      </c>
      <c r="D4" s="3" t="s">
        <v>90</v>
      </c>
      <c r="E4" s="3" t="s">
        <v>88</v>
      </c>
      <c r="F4" s="3" t="s">
        <v>91</v>
      </c>
    </row>
    <row r="6" spans="1:6" ht="12.75">
      <c r="A6" t="s">
        <v>75</v>
      </c>
      <c r="B6">
        <f>Values!C14</f>
        <v>5000</v>
      </c>
      <c r="C6">
        <v>1</v>
      </c>
      <c r="D6">
        <v>5</v>
      </c>
      <c r="E6">
        <f>LOG10(ABS(B6))</f>
        <v>3.6989700043360187</v>
      </c>
      <c r="F6" s="4">
        <f>IF(E6&lt;C6,C6,IF(E6&gt;D6,D6,E6))</f>
        <v>3.6989700043360187</v>
      </c>
    </row>
    <row r="7" spans="1:6" ht="12.75">
      <c r="A7" t="s">
        <v>77</v>
      </c>
      <c r="B7">
        <f>Values!C17</f>
        <v>0</v>
      </c>
      <c r="E7">
        <f>B7</f>
        <v>0</v>
      </c>
      <c r="F7">
        <f>E7</f>
        <v>0</v>
      </c>
    </row>
    <row r="11" spans="1:5" ht="12.75">
      <c r="A11" s="2" t="s">
        <v>85</v>
      </c>
      <c r="B11" s="3" t="s">
        <v>86</v>
      </c>
      <c r="C11" s="3"/>
      <c r="D11" s="3" t="s">
        <v>87</v>
      </c>
      <c r="E11" s="3" t="s">
        <v>92</v>
      </c>
    </row>
    <row r="13" spans="1:5" ht="12.75">
      <c r="A13" t="s">
        <v>0</v>
      </c>
      <c r="B13">
        <v>-0.517741580016056</v>
      </c>
      <c r="D13">
        <v>1</v>
      </c>
      <c r="E13">
        <f>B13*D13</f>
        <v>-0.517741580016056</v>
      </c>
    </row>
    <row r="14" spans="1:5" ht="12.75">
      <c r="A14" t="s">
        <v>29</v>
      </c>
      <c r="B14">
        <v>2.73687876568207</v>
      </c>
      <c r="D14">
        <f>F6</f>
        <v>3.6989700043360187</v>
      </c>
      <c r="E14">
        <f aca="true" t="shared" si="0" ref="E14:E20">B14*D14</f>
        <v>10.123632459762165</v>
      </c>
    </row>
    <row r="15" spans="1:5" ht="12.75">
      <c r="A15" t="s">
        <v>30</v>
      </c>
      <c r="B15">
        <v>-2.27852495062307</v>
      </c>
      <c r="D15">
        <f>D14^2</f>
        <v>13.682379092977607</v>
      </c>
      <c r="E15">
        <f t="shared" si="0"/>
        <v>-31.175642147232928</v>
      </c>
    </row>
    <row r="16" spans="1:5" ht="12.75">
      <c r="A16" t="s">
        <v>80</v>
      </c>
      <c r="B16">
        <v>0.823841060475717</v>
      </c>
      <c r="D16">
        <f>D14^3</f>
        <v>50.61070985287843</v>
      </c>
      <c r="E16">
        <f t="shared" si="0"/>
        <v>41.695180876624185</v>
      </c>
    </row>
    <row r="17" spans="1:5" ht="12.75">
      <c r="A17" t="s">
        <v>81</v>
      </c>
      <c r="B17">
        <v>-0.138155229556627</v>
      </c>
      <c r="D17">
        <f>D14^4</f>
        <v>187.20749764395072</v>
      </c>
      <c r="E17">
        <f t="shared" si="0"/>
        <v>-25.86369481172172</v>
      </c>
    </row>
    <row r="18" spans="1:5" ht="12.75">
      <c r="A18" t="s">
        <v>82</v>
      </c>
      <c r="B18">
        <v>0.00880376604438376</v>
      </c>
      <c r="D18">
        <f>D14^5</f>
        <v>692.4749183717796</v>
      </c>
      <c r="E18">
        <f t="shared" si="0"/>
        <v>6.096387172948889</v>
      </c>
    </row>
    <row r="19" spans="1:5" ht="12.75">
      <c r="A19" t="s">
        <v>83</v>
      </c>
      <c r="B19">
        <v>0.000184087466692985</v>
      </c>
      <c r="D19">
        <f>F7</f>
        <v>0</v>
      </c>
      <c r="E19">
        <f t="shared" si="0"/>
        <v>0</v>
      </c>
    </row>
    <row r="20" spans="1:5" ht="12.75">
      <c r="A20" t="s">
        <v>84</v>
      </c>
      <c r="B20">
        <v>0.000890999388712394</v>
      </c>
      <c r="D20">
        <f>D19^2</f>
        <v>0</v>
      </c>
      <c r="E20">
        <f t="shared" si="0"/>
        <v>0</v>
      </c>
    </row>
    <row r="22" spans="1:5" ht="12.75">
      <c r="A22" t="s">
        <v>93</v>
      </c>
      <c r="E22">
        <f>SUM(E13:E21)</f>
        <v>0.3581219703645342</v>
      </c>
    </row>
    <row r="23" spans="1:5" ht="12.75">
      <c r="A23" t="s">
        <v>94</v>
      </c>
      <c r="E23">
        <v>0.34841145808945</v>
      </c>
    </row>
    <row r="25" spans="1:5" ht="12.75">
      <c r="A25" t="s">
        <v>95</v>
      </c>
      <c r="E25">
        <f>E22-E23</f>
        <v>0.009710512275084182</v>
      </c>
    </row>
    <row r="27" spans="1:5" ht="12.75">
      <c r="A27" t="s">
        <v>96</v>
      </c>
      <c r="E27">
        <f>10^E25</f>
        <v>1.0226111230301798</v>
      </c>
    </row>
    <row r="37" ht="12.75">
      <c r="C37" s="1"/>
    </row>
    <row r="38" ht="12.75">
      <c r="C38" s="1"/>
    </row>
    <row r="39" ht="12.75">
      <c r="C39" s="1"/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Research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Davies</dc:creator>
  <cp:keywords/>
  <dc:description/>
  <cp:lastModifiedBy>Information Services</cp:lastModifiedBy>
  <dcterms:created xsi:type="dcterms:W3CDTF">2010-12-30T08:40:35Z</dcterms:created>
  <dcterms:modified xsi:type="dcterms:W3CDTF">2012-03-21T22:09:56Z</dcterms:modified>
  <cp:category/>
  <cp:version/>
  <cp:contentType/>
  <cp:contentStatus/>
</cp:coreProperties>
</file>