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2360" firstSheet="1" activeTab="2"/>
  </bookViews>
  <sheets>
    <sheet name="INDV Offset Method - linear k" sheetId="1" state="hidden" r:id="rId1"/>
    <sheet name="Implemenation Guide" sheetId="6" r:id="rId2"/>
    <sheet name="NSIO Method" sheetId="5" r:id="rId3"/>
    <sheet name="RS Specific Method" sheetId="2" r:id="rId4"/>
    <sheet name="QMR Method" sheetId="4" r:id="rId5"/>
    <sheet name="Config" sheetId="7" r:id="rId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5" l="1"/>
  <c r="Q9" i="5"/>
  <c r="R9" i="5"/>
  <c r="S9" i="5"/>
  <c r="U9" i="5"/>
  <c r="V9" i="5"/>
  <c r="O10" i="5"/>
  <c r="R10" i="5"/>
  <c r="S10" i="5"/>
  <c r="V10" i="5"/>
  <c r="O11" i="5"/>
  <c r="S11" i="5"/>
  <c r="O12" i="5"/>
  <c r="Q12" i="5"/>
  <c r="R12" i="5"/>
  <c r="S12" i="5"/>
  <c r="U12" i="5"/>
  <c r="V12" i="5"/>
  <c r="O13" i="5"/>
  <c r="R13" i="5"/>
  <c r="S13" i="5"/>
  <c r="V13" i="5"/>
  <c r="O15" i="5"/>
  <c r="R15" i="5"/>
  <c r="S15" i="5"/>
  <c r="V15" i="5"/>
  <c r="O16" i="5"/>
  <c r="S16" i="5"/>
  <c r="N16" i="5"/>
  <c r="X16" i="5" s="1"/>
  <c r="N13" i="5"/>
  <c r="N12" i="5"/>
  <c r="X12" i="5" s="1"/>
  <c r="N9" i="5"/>
  <c r="X9" i="5" s="1"/>
  <c r="L9" i="5"/>
  <c r="P9" i="5" s="1"/>
  <c r="L10" i="5"/>
  <c r="P10" i="5" s="1"/>
  <c r="L11" i="5"/>
  <c r="P11" i="5" s="1"/>
  <c r="L12" i="5"/>
  <c r="P12" i="5" s="1"/>
  <c r="L13" i="5"/>
  <c r="P13" i="5" s="1"/>
  <c r="X13" i="5"/>
  <c r="L14" i="5"/>
  <c r="P14" i="5" s="1"/>
  <c r="L15" i="5"/>
  <c r="P15" i="5" s="1"/>
  <c r="L16" i="5"/>
  <c r="P16" i="5" s="1"/>
  <c r="S14" i="5" l="1"/>
  <c r="O14" i="5"/>
  <c r="V16" i="5"/>
  <c r="R16" i="5"/>
  <c r="V14" i="5"/>
  <c r="R14" i="5"/>
  <c r="V11" i="5"/>
  <c r="R11" i="5"/>
  <c r="N10" i="5"/>
  <c r="X10" i="5" s="1"/>
  <c r="N14" i="5"/>
  <c r="X14" i="5" s="1"/>
  <c r="U16" i="5"/>
  <c r="Q16" i="5"/>
  <c r="U15" i="5"/>
  <c r="Q15" i="5"/>
  <c r="U14" i="5"/>
  <c r="Q14" i="5"/>
  <c r="U13" i="5"/>
  <c r="Q13" i="5"/>
  <c r="U11" i="5"/>
  <c r="Q11" i="5"/>
  <c r="U10" i="5"/>
  <c r="Q10" i="5"/>
  <c r="N11" i="5"/>
  <c r="X11" i="5" s="1"/>
  <c r="N15" i="5"/>
  <c r="X15" i="5" s="1"/>
  <c r="T16" i="5"/>
  <c r="T15" i="5"/>
  <c r="T14" i="5"/>
  <c r="T13" i="5"/>
  <c r="T12" i="5"/>
  <c r="T11" i="5"/>
  <c r="T10" i="5"/>
  <c r="T9" i="5"/>
  <c r="K6" i="7"/>
  <c r="J6" i="7"/>
  <c r="I6" i="7"/>
  <c r="H6" i="7"/>
  <c r="G6" i="7"/>
  <c r="F6" i="7"/>
  <c r="E6" i="7"/>
  <c r="D6" i="7"/>
  <c r="C6" i="7"/>
  <c r="AB11" i="5" l="1"/>
  <c r="AD11" i="5" s="1"/>
  <c r="AB15" i="5"/>
  <c r="AD15" i="5" s="1"/>
  <c r="AF15" i="5" s="1"/>
  <c r="AE15" i="5" s="1"/>
  <c r="AB13" i="5"/>
  <c r="AD13" i="5" s="1"/>
  <c r="AB12" i="5"/>
  <c r="AD12" i="5" s="1"/>
  <c r="AB16" i="5"/>
  <c r="AD16" i="5" s="1"/>
  <c r="AB10" i="5"/>
  <c r="AD10" i="5" s="1"/>
  <c r="AF10" i="5" s="1"/>
  <c r="AB14" i="5"/>
  <c r="AD14" i="5" s="1"/>
  <c r="AB9" i="5"/>
  <c r="AD9" i="5" s="1"/>
  <c r="AF16" i="5"/>
  <c r="AC12" i="5"/>
  <c r="AC9" i="5"/>
  <c r="Z9" i="5"/>
  <c r="Z13" i="5"/>
  <c r="Y13" i="5" s="1"/>
  <c r="Z11" i="5"/>
  <c r="AA11" i="5" s="1"/>
  <c r="Z10" i="5"/>
  <c r="Y10" i="5" s="1"/>
  <c r="Z14" i="5"/>
  <c r="Z12" i="5"/>
  <c r="Z16" i="5"/>
  <c r="Y16" i="5" s="1"/>
  <c r="Z15" i="5"/>
  <c r="O9" i="2"/>
  <c r="N9" i="2"/>
  <c r="M9" i="2"/>
  <c r="L9" i="2"/>
  <c r="K9" i="2"/>
  <c r="K10" i="2"/>
  <c r="L10" i="2"/>
  <c r="M10" i="2"/>
  <c r="N10" i="2"/>
  <c r="O10" i="2"/>
  <c r="P10" i="2"/>
  <c r="Q10" i="2"/>
  <c r="R10" i="2"/>
  <c r="S10" i="2"/>
  <c r="K11" i="2"/>
  <c r="L11" i="2"/>
  <c r="M11" i="2"/>
  <c r="N11" i="2"/>
  <c r="O11" i="2"/>
  <c r="P11" i="2"/>
  <c r="Q11" i="2"/>
  <c r="R11" i="2"/>
  <c r="S11" i="2"/>
  <c r="K12" i="2"/>
  <c r="L12" i="2"/>
  <c r="M12" i="2"/>
  <c r="N12" i="2"/>
  <c r="O12" i="2"/>
  <c r="P12" i="2"/>
  <c r="Q12" i="2"/>
  <c r="R12" i="2"/>
  <c r="S12" i="2"/>
  <c r="K13" i="2"/>
  <c r="L13" i="2"/>
  <c r="M13" i="2"/>
  <c r="N13" i="2"/>
  <c r="O13" i="2"/>
  <c r="P13" i="2"/>
  <c r="Q13" i="2"/>
  <c r="R13" i="2"/>
  <c r="S13" i="2"/>
  <c r="K14" i="2"/>
  <c r="L14" i="2"/>
  <c r="M14" i="2"/>
  <c r="N14" i="2"/>
  <c r="O14" i="2"/>
  <c r="P14" i="2"/>
  <c r="Q14" i="2"/>
  <c r="R14" i="2"/>
  <c r="S14" i="2"/>
  <c r="K15" i="2"/>
  <c r="L15" i="2"/>
  <c r="M15" i="2"/>
  <c r="N15" i="2"/>
  <c r="O15" i="2"/>
  <c r="P15" i="2"/>
  <c r="Q15" i="2"/>
  <c r="R15" i="2"/>
  <c r="S15" i="2"/>
  <c r="K16" i="2"/>
  <c r="L16" i="2"/>
  <c r="M16" i="2"/>
  <c r="N16" i="2"/>
  <c r="O16" i="2"/>
  <c r="P16" i="2"/>
  <c r="Q16" i="2"/>
  <c r="R16" i="2"/>
  <c r="S16" i="2"/>
  <c r="P9" i="2"/>
  <c r="Q9" i="2"/>
  <c r="R9" i="2"/>
  <c r="S9" i="2"/>
  <c r="AA15" i="5" l="1"/>
  <c r="Y12" i="5"/>
  <c r="Y14" i="5"/>
  <c r="AC15" i="5"/>
  <c r="AF9" i="5"/>
  <c r="AE9" i="5" s="1"/>
  <c r="AF12" i="5"/>
  <c r="AE12" i="5" s="1"/>
  <c r="AA12" i="5"/>
  <c r="AC13" i="5"/>
  <c r="Y15" i="5"/>
  <c r="AF14" i="5"/>
  <c r="AE14" i="5" s="1"/>
  <c r="AF13" i="5"/>
  <c r="AE13" i="5" s="1"/>
  <c r="AE10" i="5"/>
  <c r="AA14" i="5"/>
  <c r="AA9" i="5"/>
  <c r="AC10" i="5"/>
  <c r="Y9" i="5"/>
  <c r="AE16" i="5"/>
  <c r="AA10" i="5"/>
  <c r="AF11" i="5"/>
  <c r="AE11" i="5" s="1"/>
  <c r="AA13" i="5"/>
  <c r="AC14" i="5"/>
  <c r="Y11" i="5"/>
  <c r="AA16" i="5"/>
  <c r="AC11" i="5"/>
  <c r="AC16" i="5"/>
  <c r="R12" i="1"/>
  <c r="S12" i="1"/>
  <c r="R13" i="1"/>
  <c r="S13" i="1"/>
  <c r="R14" i="1"/>
  <c r="S14" i="1"/>
  <c r="R15" i="1"/>
  <c r="S15" i="1"/>
  <c r="R16" i="1"/>
  <c r="S16" i="1"/>
  <c r="R17" i="1"/>
  <c r="S17" i="1"/>
  <c r="R18" i="1"/>
  <c r="S18" i="1"/>
  <c r="R19" i="1"/>
  <c r="S19" i="1"/>
  <c r="R20" i="1"/>
  <c r="S20" i="1"/>
  <c r="K13" i="1"/>
  <c r="L13" i="1"/>
  <c r="M13" i="1"/>
  <c r="N13" i="1"/>
  <c r="O13" i="1"/>
  <c r="P13" i="1"/>
  <c r="Q13" i="1"/>
  <c r="K14" i="1"/>
  <c r="L14" i="1"/>
  <c r="M14" i="1"/>
  <c r="N14" i="1"/>
  <c r="O14" i="1"/>
  <c r="P14" i="1"/>
  <c r="Q14" i="1"/>
  <c r="K15" i="1"/>
  <c r="L15" i="1"/>
  <c r="M15" i="1"/>
  <c r="N15" i="1"/>
  <c r="O15" i="1"/>
  <c r="P15" i="1"/>
  <c r="Q15" i="1"/>
  <c r="K16" i="1"/>
  <c r="L16" i="1"/>
  <c r="M16" i="1"/>
  <c r="N16" i="1"/>
  <c r="O16" i="1"/>
  <c r="P16" i="1"/>
  <c r="Q16" i="1"/>
  <c r="K17" i="1"/>
  <c r="L17" i="1"/>
  <c r="M17" i="1"/>
  <c r="N17" i="1"/>
  <c r="O17" i="1"/>
  <c r="P17" i="1"/>
  <c r="Q17" i="1"/>
  <c r="K18" i="1"/>
  <c r="L18" i="1"/>
  <c r="M18" i="1"/>
  <c r="N18" i="1"/>
  <c r="O18" i="1"/>
  <c r="P18" i="1"/>
  <c r="Q18" i="1"/>
  <c r="K19" i="1"/>
  <c r="L19" i="1"/>
  <c r="M19" i="1"/>
  <c r="N19" i="1"/>
  <c r="O19" i="1"/>
  <c r="P19" i="1"/>
  <c r="Q19" i="1"/>
  <c r="K20" i="1"/>
  <c r="L20" i="1"/>
  <c r="M20" i="1"/>
  <c r="N20" i="1"/>
  <c r="O20" i="1"/>
  <c r="P20" i="1"/>
  <c r="Q20" i="1"/>
  <c r="L12" i="1"/>
  <c r="M12" i="1"/>
  <c r="N12" i="1"/>
  <c r="O12" i="1"/>
  <c r="P12" i="1"/>
  <c r="Q12" i="1"/>
  <c r="K12" i="1"/>
  <c r="H16" i="4"/>
  <c r="M16" i="4" s="1"/>
  <c r="H15" i="4"/>
  <c r="K15" i="4" s="1"/>
  <c r="H14" i="4"/>
  <c r="M14" i="4" s="1"/>
  <c r="H13" i="4"/>
  <c r="K13" i="4" s="1"/>
  <c r="H12" i="4"/>
  <c r="M12" i="4" s="1"/>
  <c r="H11" i="4"/>
  <c r="K11" i="4" s="1"/>
  <c r="L11" i="4"/>
  <c r="H10" i="4"/>
  <c r="M10" i="4" s="1"/>
  <c r="H9" i="4"/>
  <c r="K9" i="4" s="1"/>
  <c r="J16" i="4" l="1"/>
  <c r="L13" i="4"/>
  <c r="J14" i="4"/>
  <c r="J10" i="4"/>
  <c r="L9" i="4"/>
  <c r="J11" i="4"/>
  <c r="J13" i="4"/>
  <c r="J15" i="4"/>
  <c r="J9" i="4"/>
  <c r="J12" i="4"/>
  <c r="L15" i="4"/>
  <c r="I9" i="4"/>
  <c r="M9" i="4"/>
  <c r="K10" i="4"/>
  <c r="I11" i="4"/>
  <c r="M11" i="4"/>
  <c r="K12" i="4"/>
  <c r="I13" i="4"/>
  <c r="M13" i="4"/>
  <c r="K14" i="4"/>
  <c r="I15" i="4"/>
  <c r="M15" i="4"/>
  <c r="K16" i="4"/>
  <c r="L10" i="4"/>
  <c r="L12" i="4"/>
  <c r="L14" i="4"/>
  <c r="L16" i="4"/>
  <c r="I10" i="4"/>
  <c r="I12" i="4"/>
  <c r="I14" i="4"/>
  <c r="I16" i="4"/>
</calcChain>
</file>

<file path=xl/comments1.xml><?xml version="1.0" encoding="utf-8"?>
<comments xmlns="http://schemas.openxmlformats.org/spreadsheetml/2006/main">
  <authors>
    <author>Martin Gribble</author>
  </authors>
  <commentList>
    <comment ref="A7" authorId="0">
      <text>
        <r>
          <rPr>
            <b/>
            <sz val="9"/>
            <color indexed="81"/>
            <rFont val="Tahoma"/>
            <family val="2"/>
          </rPr>
          <t>Using RAMM data labelled Deflection 0mm etc.</t>
        </r>
      </text>
    </comment>
    <comment ref="K7" authorId="0">
      <text>
        <r>
          <rPr>
            <b/>
            <sz val="9"/>
            <color indexed="81"/>
            <rFont val="Tahoma"/>
            <family val="2"/>
          </rPr>
          <t>From TSD records in RAMM</t>
        </r>
      </text>
    </comment>
    <comment ref="N7" authorId="0">
      <text>
        <r>
          <rPr>
            <b/>
            <sz val="9"/>
            <color indexed="81"/>
            <rFont val="Tahoma"/>
            <family val="2"/>
          </rPr>
          <t>Using RAMM data labelled Deflection 0mm etc. modified by the standardised load factor</t>
        </r>
      </text>
    </comment>
  </commentList>
</comments>
</file>

<file path=xl/sharedStrings.xml><?xml version="1.0" encoding="utf-8"?>
<sst xmlns="http://schemas.openxmlformats.org/spreadsheetml/2006/main" count="67" uniqueCount="52">
  <si>
    <t>k200</t>
  </si>
  <si>
    <t>k300</t>
  </si>
  <si>
    <t>k450</t>
  </si>
  <si>
    <t>k600</t>
  </si>
  <si>
    <t>k900</t>
  </si>
  <si>
    <t>slope</t>
  </si>
  <si>
    <t>intercept</t>
  </si>
  <si>
    <t>TSD input</t>
  </si>
  <si>
    <t>Instructions:</t>
  </si>
  <si>
    <t>1. Insert TSD deflection bowl in blue shaded cells</t>
  </si>
  <si>
    <t>2. The transformed equivalent FWD for the same load,</t>
  </si>
  <si>
    <t>TSD Transformed</t>
  </si>
  <si>
    <t>k / Deflection Offset</t>
  </si>
  <si>
    <t>k factor:</t>
  </si>
  <si>
    <t xml:space="preserve"> but on 300 mm plate are output to the green shaded cells below</t>
  </si>
  <si>
    <t>Recommended Solution: Individual Offset Method</t>
  </si>
  <si>
    <t>QMR Method</t>
  </si>
  <si>
    <t>Input k factors:</t>
  </si>
  <si>
    <t>k0</t>
  </si>
  <si>
    <t>k750</t>
  </si>
  <si>
    <t>k1200</t>
  </si>
  <si>
    <t>k1500</t>
  </si>
  <si>
    <t>TSD transformed equivalent FWD output (mm)</t>
  </si>
  <si>
    <t>TSD deflection bowl input (mm)</t>
  </si>
  <si>
    <t>A</t>
  </si>
  <si>
    <t>B</t>
  </si>
  <si>
    <t>c</t>
  </si>
  <si>
    <t>a</t>
  </si>
  <si>
    <t>b</t>
  </si>
  <si>
    <t>Route Station Specific Equation Method</t>
  </si>
  <si>
    <t>Network Specific Individual Offset Method</t>
  </si>
  <si>
    <t>x = Raw TSD deflection (mm)</t>
  </si>
  <si>
    <t>Transformation in form Ax^2+Bx</t>
  </si>
  <si>
    <t>Factors A and B Calibrated to SH45 RS81 - 2015</t>
  </si>
  <si>
    <t>2. The transformed equivalent FWD deflection bowls are output to the green shaded cells</t>
  </si>
  <si>
    <t>1. Enter standardised (40 kN) TSD deflection bowls in the blue shaded cells</t>
  </si>
  <si>
    <r>
      <t xml:space="preserve">This method was developed to be used across the entire Queensland network. However when applied to New Zealand networks, the results proved to be unreliable. This method uses </t>
    </r>
    <r>
      <rPr>
        <u/>
        <sz val="11"/>
        <color theme="1"/>
        <rFont val="Calibri"/>
        <family val="2"/>
        <scheme val="minor"/>
      </rPr>
      <t>only the central deflection</t>
    </r>
    <r>
      <rPr>
        <sz val="11"/>
        <color theme="1"/>
        <rFont val="Calibri"/>
        <family val="2"/>
        <scheme val="minor"/>
      </rPr>
      <t xml:space="preserve"> from the TSD data and generates a synthetic deflection bowl for the remaining offsets. 
</t>
    </r>
    <r>
      <rPr>
        <i/>
        <sz val="9"/>
        <color theme="1"/>
        <rFont val="Calibri"/>
        <family val="2"/>
        <scheme val="minor"/>
      </rPr>
      <t xml:space="preserve">
Paper by Chai et al. Evaluation of the Traffic Speed Deflectometer data using simplified deflection model.</t>
    </r>
  </si>
  <si>
    <r>
      <t xml:space="preserve">This method consists of developing a simple transfer function (y = Ax² + Bx) generated by comparing the cumulative distributions of FWD central deflections to the corresponding TSD offset central deflection. 
It must be noted that these transfer functions are </t>
    </r>
    <r>
      <rPr>
        <u/>
        <sz val="11"/>
        <color theme="1"/>
        <rFont val="Calibri"/>
        <family val="2"/>
        <scheme val="minor"/>
      </rPr>
      <t>Route Station Specific</t>
    </r>
    <r>
      <rPr>
        <sz val="11"/>
        <color theme="1"/>
        <rFont val="Calibri"/>
        <family val="2"/>
        <scheme val="minor"/>
      </rPr>
      <t>.</t>
    </r>
  </si>
  <si>
    <r>
      <t xml:space="preserve">1. Enter standardised (40 kN) TSD </t>
    </r>
    <r>
      <rPr>
        <u/>
        <sz val="11"/>
        <color theme="1"/>
        <rFont val="Calibri"/>
        <family val="2"/>
        <scheme val="minor"/>
      </rPr>
      <t>central deflection</t>
    </r>
    <r>
      <rPr>
        <sz val="11"/>
        <color theme="1"/>
        <rFont val="Calibri"/>
        <family val="2"/>
        <scheme val="minor"/>
      </rPr>
      <t xml:space="preserve"> in the blue shaded cells</t>
    </r>
  </si>
  <si>
    <t>2. The synthetic FWD deflection bowls are output to the green shaded cells</t>
  </si>
  <si>
    <r>
      <rPr>
        <b/>
        <sz val="14"/>
        <rFont val="Calibri"/>
        <family val="2"/>
        <scheme val="minor"/>
      </rPr>
      <t>Preferred Method:</t>
    </r>
    <r>
      <rPr>
        <sz val="14"/>
        <rFont val="Calibri"/>
        <family val="2"/>
        <scheme val="minor"/>
      </rPr>
      <t xml:space="preserve"> Network Specific Individual Offset (NSIO) Method</t>
    </r>
  </si>
  <si>
    <r>
      <rPr>
        <b/>
        <sz val="14"/>
        <color theme="1"/>
        <rFont val="Calibri"/>
        <family val="2"/>
        <scheme val="minor"/>
      </rPr>
      <t>Alternative Method 1:</t>
    </r>
    <r>
      <rPr>
        <sz val="14"/>
        <color theme="1"/>
        <rFont val="Calibri"/>
        <family val="2"/>
        <scheme val="minor"/>
      </rPr>
      <t xml:space="preserve"> Route Station (RS) Specific Method</t>
    </r>
  </si>
  <si>
    <r>
      <rPr>
        <b/>
        <sz val="14"/>
        <color theme="1"/>
        <rFont val="Calibri"/>
        <family val="2"/>
        <scheme val="minor"/>
      </rPr>
      <t>Alternative Method 2:</t>
    </r>
    <r>
      <rPr>
        <sz val="14"/>
        <color theme="1"/>
        <rFont val="Calibri"/>
        <family val="2"/>
        <scheme val="minor"/>
      </rPr>
      <t xml:space="preserve"> Queensland Main Roads (QMR) Method</t>
    </r>
  </si>
  <si>
    <t>This spreadsheet converts TSD bowls as presented by ARRB to an equivalent FWD deflection bowl using the three transformation methods outlined in the associated report.</t>
  </si>
  <si>
    <t>This method uses individual transfer functions to transform the ARRB bowls inferred from TSD deflection bowls into equivalent FWD equivalent deflection bowls. 
The factors generated were aimed to be universal, but could only be generated from roads where TSD and closely spaced FWD data existed.</t>
  </si>
  <si>
    <t>TSD standardised deflection bowl input (mm)</t>
  </si>
  <si>
    <t>Estimated load</t>
  </si>
  <si>
    <t>Standardised load factor</t>
  </si>
  <si>
    <t>TSD AARB deflection bowl input (mm)</t>
  </si>
  <si>
    <t>2. Standardised (40 kN) TSD deflection bowls generated in the blue shaded cells</t>
  </si>
  <si>
    <t>3. The transformed equivalent FWD deflection bowls are output to the green shaded cells</t>
  </si>
  <si>
    <t>1. Enter raw TSD deflection bowls in the orange shaded cells and estimated load into the purple cells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</si>
</sst>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5" x14ac:knownFonts="1">
    <font>
      <sz val="11"/>
      <color theme="1"/>
      <name val="Calibri"/>
      <family val="2"/>
      <scheme val="minor"/>
    </font>
    <font>
      <sz val="11"/>
      <color rgb="FF3F3F76"/>
      <name val="Calibri"/>
      <family val="2"/>
      <scheme val="minor"/>
    </font>
    <font>
      <b/>
      <sz val="11"/>
      <color theme="1"/>
      <name val="Calibri"/>
      <family val="2"/>
      <scheme val="minor"/>
    </font>
    <font>
      <sz val="14"/>
      <color theme="1"/>
      <name val="Calibri"/>
      <family val="2"/>
      <scheme val="minor"/>
    </font>
    <font>
      <sz val="8"/>
      <color theme="1"/>
      <name val="Tahoma"/>
      <family val="2"/>
    </font>
    <font>
      <sz val="11"/>
      <color rgb="FF9C6500"/>
      <name val="Calibri"/>
      <family val="2"/>
      <scheme val="minor"/>
    </font>
    <font>
      <sz val="10"/>
      <color theme="1"/>
      <name val="Calibri"/>
      <family val="2"/>
      <scheme val="minor"/>
    </font>
    <font>
      <sz val="9"/>
      <color theme="1"/>
      <name val="Calibri"/>
      <family val="2"/>
      <scheme val="minor"/>
    </font>
    <font>
      <sz val="9"/>
      <color rgb="FF3F3F76"/>
      <name val="Calibri"/>
      <family val="2"/>
      <scheme val="minor"/>
    </font>
    <font>
      <b/>
      <sz val="15"/>
      <color theme="1"/>
      <name val="Calibri"/>
      <family val="2"/>
      <scheme val="minor"/>
    </font>
    <font>
      <sz val="11"/>
      <color rgb="FF006100"/>
      <name val="Calibri"/>
      <family val="2"/>
      <scheme val="minor"/>
    </font>
    <font>
      <b/>
      <sz val="16"/>
      <color rgb="FF006100"/>
      <name val="Calibri"/>
      <family val="2"/>
      <scheme val="minor"/>
    </font>
    <font>
      <sz val="11"/>
      <color theme="1"/>
      <name val="Calibri"/>
      <family val="2"/>
      <scheme val="minor"/>
    </font>
    <font>
      <b/>
      <sz val="11"/>
      <color rgb="FFFA7D00"/>
      <name val="Calibri"/>
      <family val="2"/>
      <scheme val="minor"/>
    </font>
    <font>
      <i/>
      <sz val="11"/>
      <color theme="1"/>
      <name val="Calibri"/>
      <family val="2"/>
      <scheme val="minor"/>
    </font>
    <font>
      <b/>
      <sz val="14"/>
      <color theme="1"/>
      <name val="Calibri"/>
      <family val="2"/>
      <scheme val="minor"/>
    </font>
    <font>
      <b/>
      <sz val="16"/>
      <color theme="1"/>
      <name val="Calibri"/>
      <family val="2"/>
      <scheme val="minor"/>
    </font>
    <font>
      <sz val="11"/>
      <color rgb="FF595959"/>
      <name val="Calibri"/>
      <family val="2"/>
      <scheme val="minor"/>
    </font>
    <font>
      <sz val="11"/>
      <name val="Calibri"/>
      <family val="2"/>
      <scheme val="minor"/>
    </font>
    <font>
      <sz val="14"/>
      <name val="Calibri"/>
      <family val="2"/>
      <scheme val="minor"/>
    </font>
    <font>
      <b/>
      <sz val="14"/>
      <name val="Calibri"/>
      <family val="2"/>
      <scheme val="minor"/>
    </font>
    <font>
      <u/>
      <sz val="11"/>
      <color theme="1"/>
      <name val="Calibri"/>
      <family val="2"/>
      <scheme val="minor"/>
    </font>
    <font>
      <i/>
      <sz val="9"/>
      <color theme="1"/>
      <name val="Calibri"/>
      <family val="2"/>
      <scheme val="minor"/>
    </font>
    <font>
      <sz val="11"/>
      <color theme="0" tint="-0.249977111117893"/>
      <name val="Calibri"/>
      <family val="2"/>
      <scheme val="minor"/>
    </font>
    <font>
      <b/>
      <sz val="9"/>
      <color indexed="81"/>
      <name val="Tahoma"/>
      <family val="2"/>
    </font>
  </fonts>
  <fills count="18">
    <fill>
      <patternFill patternType="none"/>
    </fill>
    <fill>
      <patternFill patternType="gray125"/>
    </fill>
    <fill>
      <patternFill patternType="solid">
        <fgColor rgb="FFFFCC99"/>
      </patternFill>
    </fill>
    <fill>
      <patternFill patternType="solid">
        <fgColor theme="5"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EB9C"/>
      </patternFill>
    </fill>
    <fill>
      <patternFill patternType="solid">
        <fgColor rgb="FFC6EFCE"/>
      </patternFill>
    </fill>
    <fill>
      <patternFill patternType="solid">
        <fgColor rgb="FF92D050"/>
        <bgColor indexed="64"/>
      </patternFill>
    </fill>
    <fill>
      <patternFill patternType="solid">
        <fgColor rgb="FFF2F2F2"/>
      </patternFill>
    </fill>
    <fill>
      <patternFill patternType="solid">
        <fgColor rgb="FFFFFFCC"/>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39994506668294322"/>
        <bgColor indexed="64"/>
      </patternFill>
    </fill>
    <fill>
      <patternFill patternType="solid">
        <fgColor rgb="FF7E527E"/>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bottom style="thin">
        <color indexed="64"/>
      </bottom>
      <diagonal/>
    </border>
    <border>
      <left style="thin">
        <color rgb="FF7F7F7F"/>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rgb="FF7F7F7F"/>
      </right>
      <top style="thin">
        <color indexed="64"/>
      </top>
      <bottom style="thin">
        <color rgb="FF7F7F7F"/>
      </bottom>
      <diagonal/>
    </border>
    <border>
      <left style="thin">
        <color rgb="FF7F7F7F"/>
      </left>
      <right style="thin">
        <color rgb="FF7F7F7F"/>
      </right>
      <top style="thin">
        <color indexed="64"/>
      </top>
      <bottom style="thin">
        <color rgb="FF7F7F7F"/>
      </bottom>
      <diagonal/>
    </border>
    <border>
      <left style="thin">
        <color rgb="FF7F7F7F"/>
      </left>
      <right style="thin">
        <color indexed="64"/>
      </right>
      <top style="thin">
        <color indexed="64"/>
      </top>
      <bottom style="thin">
        <color rgb="FF7F7F7F"/>
      </bottom>
      <diagonal/>
    </border>
    <border>
      <left style="thin">
        <color indexed="64"/>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style="thin">
        <color indexed="64"/>
      </left>
      <right style="thin">
        <color rgb="FF7F7F7F"/>
      </right>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1" applyNumberFormat="0" applyAlignment="0" applyProtection="0"/>
    <xf numFmtId="0" fontId="5" fillId="8" borderId="0" applyNumberFormat="0" applyBorder="0" applyAlignment="0" applyProtection="0"/>
    <xf numFmtId="0" fontId="10" fillId="9" borderId="0" applyNumberFormat="0" applyBorder="0" applyAlignment="0" applyProtection="0"/>
    <xf numFmtId="0" fontId="13" fillId="11" borderId="1" applyNumberFormat="0" applyAlignment="0" applyProtection="0"/>
    <xf numFmtId="0" fontId="12" fillId="12" borderId="17" applyNumberFormat="0" applyFont="0" applyAlignment="0" applyProtection="0"/>
  </cellStyleXfs>
  <cellXfs count="85">
    <xf numFmtId="0" fontId="0" fillId="0" borderId="0" xfId="0"/>
    <xf numFmtId="0" fontId="3" fillId="4" borderId="0" xfId="0" applyFont="1" applyFill="1" applyAlignment="1">
      <alignment horizontal="center" vertical="center"/>
    </xf>
    <xf numFmtId="0" fontId="2" fillId="5" borderId="0" xfId="0" applyFont="1" applyFill="1"/>
    <xf numFmtId="0" fontId="4" fillId="0" borderId="0" xfId="0" applyNumberFormat="1" applyFont="1"/>
    <xf numFmtId="0" fontId="8" fillId="2" borderId="9" xfId="1" applyFont="1" applyBorder="1" applyAlignment="1">
      <alignment horizontal="center"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9" fillId="0" borderId="0" xfId="0" applyFont="1"/>
    <xf numFmtId="0" fontId="2" fillId="5" borderId="0" xfId="0" applyNumberFormat="1" applyFont="1" applyFill="1"/>
    <xf numFmtId="0" fontId="2" fillId="5" borderId="0" xfId="0" applyFont="1" applyFill="1" applyAlignment="1">
      <alignment horizontal="right"/>
    </xf>
    <xf numFmtId="164" fontId="4" fillId="6" borderId="0" xfId="0" applyNumberFormat="1" applyFont="1" applyFill="1"/>
    <xf numFmtId="0" fontId="2" fillId="0" borderId="0" xfId="0" applyFont="1" applyFill="1" applyAlignment="1">
      <alignment horizontal="right"/>
    </xf>
    <xf numFmtId="0" fontId="6" fillId="3" borderId="9" xfId="0" applyFont="1" applyFill="1"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3" fillId="4" borderId="0" xfId="0" applyFont="1" applyFill="1" applyAlignment="1">
      <alignment vertical="center"/>
    </xf>
    <xf numFmtId="0" fontId="5" fillId="8" borderId="9" xfId="2" applyBorder="1"/>
    <xf numFmtId="0" fontId="1" fillId="2" borderId="9" xfId="1" applyBorder="1"/>
    <xf numFmtId="164" fontId="4" fillId="7" borderId="0" xfId="0" applyNumberFormat="1" applyFont="1" applyFill="1"/>
    <xf numFmtId="0" fontId="0" fillId="3" borderId="9" xfId="0" applyFill="1" applyBorder="1" applyAlignment="1">
      <alignment horizontal="center"/>
    </xf>
    <xf numFmtId="0" fontId="5" fillId="8" borderId="10" xfId="2" applyBorder="1" applyAlignment="1">
      <alignment vertical="center"/>
    </xf>
    <xf numFmtId="0" fontId="5" fillId="8" borderId="14" xfId="2" applyBorder="1" applyAlignment="1">
      <alignment vertical="center"/>
    </xf>
    <xf numFmtId="0" fontId="5" fillId="8" borderId="11" xfId="2" applyBorder="1" applyAlignment="1">
      <alignment vertical="center"/>
    </xf>
    <xf numFmtId="0" fontId="5" fillId="8" borderId="12" xfId="2" applyBorder="1" applyAlignment="1"/>
    <xf numFmtId="0" fontId="5" fillId="8" borderId="15" xfId="2" applyBorder="1" applyAlignment="1"/>
    <xf numFmtId="0" fontId="5" fillId="8" borderId="13" xfId="2" applyBorder="1" applyAlignment="1"/>
    <xf numFmtId="0" fontId="1" fillId="2" borderId="18" xfId="1" applyBorder="1" applyAlignment="1">
      <alignment horizontal="center"/>
    </xf>
    <xf numFmtId="0" fontId="1" fillId="2" borderId="19" xfId="1" applyBorder="1" applyAlignment="1">
      <alignment horizontal="center"/>
    </xf>
    <xf numFmtId="0" fontId="1" fillId="2" borderId="20" xfId="1" applyBorder="1" applyAlignment="1">
      <alignment horizontal="center"/>
    </xf>
    <xf numFmtId="0" fontId="1" fillId="2" borderId="21" xfId="1" applyBorder="1" applyAlignment="1">
      <alignment horizontal="center"/>
    </xf>
    <xf numFmtId="0" fontId="1" fillId="2" borderId="1" xfId="1" applyBorder="1" applyAlignment="1">
      <alignment horizontal="center"/>
    </xf>
    <xf numFmtId="0" fontId="1" fillId="2" borderId="22" xfId="1" applyBorder="1" applyAlignment="1">
      <alignment horizontal="center"/>
    </xf>
    <xf numFmtId="0" fontId="0" fillId="13" borderId="14" xfId="0" applyFill="1" applyBorder="1"/>
    <xf numFmtId="0" fontId="0" fillId="13" borderId="0" xfId="0" applyFill="1" applyBorder="1"/>
    <xf numFmtId="0" fontId="14" fillId="0" borderId="0" xfId="0" applyFont="1"/>
    <xf numFmtId="0" fontId="0" fillId="0" borderId="0" xfId="0" applyFont="1"/>
    <xf numFmtId="164" fontId="0" fillId="0" borderId="0" xfId="0" applyNumberFormat="1" applyFont="1" applyFill="1" applyBorder="1"/>
    <xf numFmtId="164" fontId="0" fillId="6" borderId="0" xfId="0" applyNumberFormat="1" applyFont="1" applyFill="1"/>
    <xf numFmtId="0" fontId="17" fillId="0" borderId="0" xfId="0" applyFont="1" applyAlignment="1">
      <alignment horizontal="center" vertical="center" readingOrder="1"/>
    </xf>
    <xf numFmtId="164" fontId="0" fillId="7" borderId="0" xfId="0" applyNumberFormat="1" applyFont="1" applyFill="1"/>
    <xf numFmtId="0" fontId="16" fillId="0" borderId="0" xfId="0" applyFont="1"/>
    <xf numFmtId="0" fontId="0" fillId="0" borderId="0" xfId="0" applyNumberFormat="1" applyFont="1"/>
    <xf numFmtId="0" fontId="14" fillId="0" borderId="0" xfId="0" applyFont="1" applyFill="1" applyAlignment="1">
      <alignment vertical="center"/>
    </xf>
    <xf numFmtId="2" fontId="13" fillId="11" borderId="1" xfId="4" applyNumberFormat="1" applyAlignment="1">
      <alignment horizontal="center"/>
    </xf>
    <xf numFmtId="1" fontId="1" fillId="2" borderId="23" xfId="1" applyNumberFormat="1" applyBorder="1" applyAlignment="1">
      <alignment horizontal="center"/>
    </xf>
    <xf numFmtId="1" fontId="1" fillId="2" borderId="7" xfId="1" applyNumberFormat="1" applyBorder="1" applyAlignment="1">
      <alignment horizontal="center"/>
    </xf>
    <xf numFmtId="1" fontId="1" fillId="2" borderId="8" xfId="1" applyNumberFormat="1" applyBorder="1" applyAlignment="1">
      <alignment horizontal="center"/>
    </xf>
    <xf numFmtId="0" fontId="0" fillId="13" borderId="28" xfId="0" applyFill="1" applyBorder="1" applyAlignment="1">
      <alignment horizontal="left" vertical="center" wrapText="1"/>
    </xf>
    <xf numFmtId="0" fontId="0" fillId="14" borderId="28" xfId="0" applyFill="1" applyBorder="1" applyAlignment="1">
      <alignment horizontal="left" vertical="center" wrapText="1"/>
    </xf>
    <xf numFmtId="0" fontId="18" fillId="0" borderId="28" xfId="0" applyFont="1" applyFill="1" applyBorder="1" applyAlignment="1">
      <alignment horizontal="left" vertical="center" wrapText="1"/>
    </xf>
    <xf numFmtId="0" fontId="19" fillId="0" borderId="27" xfId="0" applyFont="1" applyFill="1" applyBorder="1" applyAlignment="1"/>
    <xf numFmtId="0" fontId="3" fillId="13" borderId="27" xfId="0" applyFont="1" applyFill="1" applyBorder="1" applyAlignment="1">
      <alignment horizontal="left" vertical="center"/>
    </xf>
    <xf numFmtId="0" fontId="3" fillId="14" borderId="27" xfId="0" applyFont="1" applyFill="1" applyBorder="1" applyAlignment="1"/>
    <xf numFmtId="0" fontId="16" fillId="10" borderId="16" xfId="0" applyFont="1" applyFill="1" applyBorder="1" applyAlignment="1">
      <alignment horizontal="center" vertical="center" wrapText="1"/>
    </xf>
    <xf numFmtId="164" fontId="23" fillId="6" borderId="0" xfId="0" applyNumberFormat="1" applyFont="1" applyFill="1"/>
    <xf numFmtId="0" fontId="0" fillId="0" borderId="0" xfId="0" applyAlignment="1">
      <alignment vertical="center"/>
    </xf>
    <xf numFmtId="0" fontId="0" fillId="4" borderId="0" xfId="0" applyFont="1" applyFill="1" applyAlignment="1">
      <alignment wrapText="1"/>
    </xf>
    <xf numFmtId="2" fontId="0" fillId="6" borderId="0" xfId="0" applyNumberFormat="1" applyFont="1" applyFill="1"/>
    <xf numFmtId="0" fontId="14" fillId="15" borderId="0" xfId="0" applyFont="1" applyFill="1" applyAlignment="1">
      <alignment horizontal="center" vertical="center"/>
    </xf>
    <xf numFmtId="0" fontId="2" fillId="15" borderId="0" xfId="0" applyFont="1" applyFill="1"/>
    <xf numFmtId="164" fontId="0" fillId="15" borderId="0" xfId="0" applyNumberFormat="1" applyFont="1" applyFill="1"/>
    <xf numFmtId="0" fontId="0" fillId="15" borderId="0" xfId="0" applyFont="1" applyFill="1"/>
    <xf numFmtId="164" fontId="0" fillId="16" borderId="0" xfId="0" applyNumberFormat="1" applyFont="1" applyFill="1"/>
    <xf numFmtId="165" fontId="0" fillId="17" borderId="0" xfId="0" applyNumberFormat="1" applyFont="1" applyFill="1"/>
    <xf numFmtId="0" fontId="11" fillId="9" borderId="0" xfId="3" applyFont="1" applyAlignment="1">
      <alignment horizontal="left"/>
    </xf>
    <xf numFmtId="0" fontId="3" fillId="4" borderId="0" xfId="0" applyFont="1" applyFill="1" applyAlignment="1">
      <alignment horizontal="center" vertical="center"/>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14" fillId="4" borderId="0" xfId="0" applyFont="1" applyFill="1" applyAlignment="1">
      <alignment horizontal="center" vertical="center"/>
    </xf>
    <xf numFmtId="0" fontId="0" fillId="12" borderId="24" xfId="5" applyFont="1" applyBorder="1"/>
    <xf numFmtId="0" fontId="0" fillId="12" borderId="25" xfId="5" applyFont="1" applyBorder="1"/>
    <xf numFmtId="0" fontId="0" fillId="12" borderId="26" xfId="5" applyFont="1" applyBorder="1"/>
    <xf numFmtId="0" fontId="2" fillId="12" borderId="24" xfId="5" applyFont="1" applyBorder="1"/>
    <xf numFmtId="0" fontId="2" fillId="12" borderId="25" xfId="5" applyFont="1" applyBorder="1"/>
    <xf numFmtId="0" fontId="2" fillId="12" borderId="26" xfId="5" applyFont="1" applyBorder="1"/>
    <xf numFmtId="0" fontId="3" fillId="3" borderId="9" xfId="0" applyFont="1" applyFill="1" applyBorder="1" applyAlignment="1">
      <alignment horizontal="center" vertical="center"/>
    </xf>
  </cellXfs>
  <cellStyles count="6">
    <cellStyle name="Calculation" xfId="4" builtinId="22"/>
    <cellStyle name="Good" xfId="3" builtinId="26"/>
    <cellStyle name="Input" xfId="1" builtinId="20"/>
    <cellStyle name="Neutral" xfId="2" builtinId="28"/>
    <cellStyle name="Normal" xfId="0" builtinId="0"/>
    <cellStyle name="Note" xfId="5" builtinId="10"/>
  </cellStyles>
  <dxfs count="0"/>
  <tableStyles count="0" defaultTableStyle="TableStyleMedium2" defaultPivotStyle="PivotStyleLight16"/>
  <colors>
    <mruColors>
      <color rgb="FF7E5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20"/>
  <sheetViews>
    <sheetView workbookViewId="0">
      <selection activeCell="O9" sqref="O9"/>
    </sheetView>
  </sheetViews>
  <sheetFormatPr defaultRowHeight="15" x14ac:dyDescent="0.25"/>
  <cols>
    <col min="7" max="7" width="8" customWidth="1"/>
    <col min="8" max="8" width="7.7109375" customWidth="1"/>
    <col min="9" max="9" width="7.42578125" customWidth="1"/>
    <col min="10" max="10" width="8" bestFit="1" customWidth="1"/>
    <col min="11" max="11" width="8.42578125" bestFit="1" customWidth="1"/>
    <col min="12" max="12" width="9.28515625" bestFit="1" customWidth="1"/>
    <col min="13" max="13" width="6.7109375" bestFit="1" customWidth="1"/>
    <col min="14" max="19" width="7.140625" bestFit="1" customWidth="1"/>
  </cols>
  <sheetData>
    <row r="1" spans="1:19" ht="21" x14ac:dyDescent="0.35">
      <c r="A1" s="66" t="s">
        <v>15</v>
      </c>
      <c r="B1" s="66"/>
      <c r="C1" s="66"/>
      <c r="D1" s="66"/>
      <c r="E1" s="66"/>
      <c r="F1" s="66"/>
      <c r="G1" s="66"/>
      <c r="H1" s="66"/>
    </row>
    <row r="2" spans="1:19" ht="18.75" customHeight="1" x14ac:dyDescent="0.25"/>
    <row r="3" spans="1:19" ht="15" customHeight="1" x14ac:dyDescent="0.25">
      <c r="A3" t="s">
        <v>8</v>
      </c>
    </row>
    <row r="4" spans="1:19" ht="15" customHeight="1" x14ac:dyDescent="0.25">
      <c r="A4" t="s">
        <v>9</v>
      </c>
    </row>
    <row r="5" spans="1:19" x14ac:dyDescent="0.25">
      <c r="A5" t="s">
        <v>10</v>
      </c>
      <c r="H5" s="68" t="s">
        <v>12</v>
      </c>
      <c r="I5" s="69"/>
      <c r="J5" s="70"/>
      <c r="K5" s="5">
        <v>0</v>
      </c>
      <c r="L5" s="6">
        <v>200</v>
      </c>
      <c r="M5" s="6">
        <v>300</v>
      </c>
      <c r="N5" s="6">
        <v>450</v>
      </c>
      <c r="O5" s="6">
        <v>600</v>
      </c>
      <c r="P5" s="6">
        <v>750</v>
      </c>
      <c r="Q5" s="6">
        <v>900</v>
      </c>
      <c r="R5" s="6">
        <v>1200</v>
      </c>
      <c r="S5" s="7">
        <v>1500</v>
      </c>
    </row>
    <row r="6" spans="1:19" x14ac:dyDescent="0.25">
      <c r="A6" t="s">
        <v>14</v>
      </c>
      <c r="H6" s="73" t="s">
        <v>26</v>
      </c>
      <c r="I6" s="74"/>
      <c r="J6" s="13">
        <v>1</v>
      </c>
      <c r="K6" s="4">
        <v>-0.24299999999999999</v>
      </c>
      <c r="L6" s="4">
        <v>-0.27</v>
      </c>
      <c r="M6" s="4">
        <v>-0.28499999999999998</v>
      </c>
      <c r="N6" s="4">
        <v>-0.26</v>
      </c>
      <c r="O6" s="4">
        <v>-0.247</v>
      </c>
      <c r="P6" s="4">
        <v>-0.25</v>
      </c>
      <c r="Q6" s="4">
        <v>-0.26</v>
      </c>
      <c r="R6" s="4">
        <v>-0.32100000000000001</v>
      </c>
      <c r="S6" s="4">
        <v>-0.32100000000000001</v>
      </c>
    </row>
    <row r="7" spans="1:19" x14ac:dyDescent="0.25">
      <c r="H7" s="75"/>
      <c r="I7" s="76"/>
      <c r="J7" s="13">
        <v>2</v>
      </c>
      <c r="K7" s="4">
        <v>2.5064000000000002</v>
      </c>
      <c r="L7" s="4">
        <v>2.4300000000000002</v>
      </c>
      <c r="M7" s="4">
        <v>2.3837000000000002</v>
      </c>
      <c r="N7" s="4">
        <v>2.3199999999999998</v>
      </c>
      <c r="O7" s="4">
        <v>2.2496</v>
      </c>
      <c r="P7" s="4">
        <v>2.2496</v>
      </c>
      <c r="Q7" s="4">
        <v>2.7719999999999998</v>
      </c>
      <c r="R7" s="4">
        <v>2.8616999999999999</v>
      </c>
      <c r="S7" s="4">
        <v>2.8616999999999999</v>
      </c>
    </row>
    <row r="8" spans="1:19" x14ac:dyDescent="0.25">
      <c r="I8" s="71" t="s">
        <v>13</v>
      </c>
      <c r="J8" s="13" t="s">
        <v>5</v>
      </c>
      <c r="K8" s="4">
        <v>825</v>
      </c>
      <c r="L8" s="4">
        <v>825</v>
      </c>
      <c r="M8" s="4">
        <v>385</v>
      </c>
      <c r="N8" s="4">
        <v>550</v>
      </c>
      <c r="O8" s="4">
        <v>475</v>
      </c>
      <c r="P8" s="4">
        <v>450</v>
      </c>
      <c r="Q8" s="4">
        <v>1500</v>
      </c>
      <c r="R8" s="4">
        <v>410</v>
      </c>
      <c r="S8" s="4">
        <v>725</v>
      </c>
    </row>
    <row r="9" spans="1:19" x14ac:dyDescent="0.25">
      <c r="I9" s="72"/>
      <c r="J9" s="13" t="s">
        <v>6</v>
      </c>
      <c r="K9" s="4">
        <v>-110</v>
      </c>
      <c r="L9" s="4">
        <v>-90</v>
      </c>
      <c r="M9" s="4">
        <v>-27</v>
      </c>
      <c r="N9" s="4">
        <v>-10</v>
      </c>
      <c r="O9" s="4">
        <v>-5</v>
      </c>
      <c r="P9" s="4">
        <v>0</v>
      </c>
      <c r="Q9" s="4">
        <v>0</v>
      </c>
      <c r="R9" s="4">
        <v>10</v>
      </c>
      <c r="S9" s="4">
        <v>30</v>
      </c>
    </row>
    <row r="10" spans="1:19" ht="18.75" x14ac:dyDescent="0.25">
      <c r="A10" s="67" t="s">
        <v>7</v>
      </c>
      <c r="B10" s="67"/>
      <c r="C10" s="67"/>
      <c r="D10" s="67"/>
      <c r="E10" s="67"/>
      <c r="F10" s="67"/>
      <c r="G10" s="67"/>
      <c r="H10" s="17"/>
      <c r="I10" s="1"/>
      <c r="J10" s="3"/>
      <c r="K10" s="67" t="s">
        <v>11</v>
      </c>
      <c r="L10" s="67"/>
      <c r="M10" s="67"/>
      <c r="N10" s="67"/>
      <c r="O10" s="67"/>
      <c r="P10" s="67"/>
      <c r="Q10" s="67"/>
      <c r="R10" s="67"/>
      <c r="S10" s="67"/>
    </row>
    <row r="11" spans="1:19" x14ac:dyDescent="0.25">
      <c r="A11" s="2">
        <v>0</v>
      </c>
      <c r="B11" s="2">
        <v>200</v>
      </c>
      <c r="C11" s="2">
        <v>300</v>
      </c>
      <c r="D11" s="2">
        <v>450</v>
      </c>
      <c r="E11" s="2">
        <v>600</v>
      </c>
      <c r="F11" s="2">
        <v>750</v>
      </c>
      <c r="G11" s="2">
        <v>900</v>
      </c>
      <c r="H11" s="2">
        <v>1200</v>
      </c>
      <c r="I11" s="2">
        <v>1500</v>
      </c>
      <c r="J11" s="3"/>
      <c r="K11" s="2">
        <v>0</v>
      </c>
      <c r="L11" s="2">
        <v>200</v>
      </c>
      <c r="M11" s="2">
        <v>300</v>
      </c>
      <c r="N11" s="2">
        <v>450</v>
      </c>
      <c r="O11" s="2">
        <v>600</v>
      </c>
      <c r="P11" s="2">
        <v>750</v>
      </c>
      <c r="Q11" s="2">
        <v>900</v>
      </c>
      <c r="R11" s="2">
        <v>1200</v>
      </c>
      <c r="S11" s="2">
        <v>1500</v>
      </c>
    </row>
    <row r="12" spans="1:19" x14ac:dyDescent="0.25">
      <c r="A12" s="11">
        <v>0.28570000000000001</v>
      </c>
      <c r="B12" s="11">
        <v>0.16320000000000001</v>
      </c>
      <c r="C12" s="11">
        <v>0.1216</v>
      </c>
      <c r="D12" s="11">
        <v>6.9199999999999998E-2</v>
      </c>
      <c r="E12" s="11">
        <v>4.53E-2</v>
      </c>
      <c r="F12" s="11">
        <v>3.5000000000000003E-2</v>
      </c>
      <c r="G12" s="11">
        <v>2.8199999999999999E-2</v>
      </c>
      <c r="H12" s="11">
        <v>1.8599999999999998E-2</v>
      </c>
      <c r="I12" s="11">
        <v>1.3299999999999999E-2</v>
      </c>
      <c r="J12" s="3"/>
      <c r="K12" s="20">
        <f t="shared" ref="K12:R12" si="0">A12/(K$6 *LN((K$8*A12+K$9)/A12) +K$7)</f>
        <v>0.27810106272622681</v>
      </c>
      <c r="L12" s="20">
        <f t="shared" si="0"/>
        <v>0.17837634344424635</v>
      </c>
      <c r="M12" s="20">
        <f t="shared" si="0"/>
        <v>0.13046507307393007</v>
      </c>
      <c r="N12" s="20">
        <f t="shared" si="0"/>
        <v>9.1211756208614922E-2</v>
      </c>
      <c r="O12" s="20">
        <f t="shared" si="0"/>
        <v>5.7155154195190745E-2</v>
      </c>
      <c r="P12" s="20">
        <f t="shared" si="0"/>
        <v>4.8457118137766229E-2</v>
      </c>
      <c r="Q12" s="20">
        <f t="shared" si="0"/>
        <v>3.2392842032910554E-2</v>
      </c>
      <c r="R12" s="20">
        <f t="shared" si="0"/>
        <v>2.8114682846260411E-2</v>
      </c>
      <c r="S12" s="20">
        <f t="shared" ref="S12" si="1">I12/(S$6 *LN((S$8*I12+S$9)/I12) +S$7)</f>
        <v>4.527900945058095E-2</v>
      </c>
    </row>
    <row r="13" spans="1:19" x14ac:dyDescent="0.25">
      <c r="A13" s="11">
        <v>0.30049999999999999</v>
      </c>
      <c r="B13" s="11">
        <v>0.17219999999999999</v>
      </c>
      <c r="C13" s="11">
        <v>0.1283</v>
      </c>
      <c r="D13" s="11">
        <v>7.8899999999999998E-2</v>
      </c>
      <c r="E13" s="11">
        <v>5.4800000000000001E-2</v>
      </c>
      <c r="F13" s="11">
        <v>4.2299999999999997E-2</v>
      </c>
      <c r="G13" s="11">
        <v>3.4000000000000002E-2</v>
      </c>
      <c r="H13" s="11">
        <v>2.29E-2</v>
      </c>
      <c r="I13" s="11">
        <v>1.67E-2</v>
      </c>
      <c r="J13" s="3"/>
      <c r="K13" s="20">
        <f t="shared" ref="K13:Q20" si="2">A13/(K$6 *LN((K$8*A13+K$9)/A13) +K$7)</f>
        <v>0.29545633844913888</v>
      </c>
      <c r="L13" s="20">
        <f t="shared" si="2"/>
        <v>0.19394725503702992</v>
      </c>
      <c r="M13" s="20">
        <f t="shared" si="2"/>
        <v>0.14060883485430023</v>
      </c>
      <c r="N13" s="20">
        <f t="shared" si="2"/>
        <v>0.10554828996697439</v>
      </c>
      <c r="O13" s="20">
        <f t="shared" si="2"/>
        <v>7.0261249586582947E-2</v>
      </c>
      <c r="P13" s="20">
        <f t="shared" si="2"/>
        <v>5.8563888492214604E-2</v>
      </c>
      <c r="Q13" s="20">
        <f t="shared" si="2"/>
        <v>3.9055199614147482E-2</v>
      </c>
      <c r="R13" s="20">
        <f t="shared" ref="R13:R20" si="3">H13/(R$6 *LN((R$8*H13+R$9)/H13) +R$7)</f>
        <v>3.2820487586250668E-2</v>
      </c>
      <c r="S13" s="20">
        <f t="shared" ref="S13:S20" si="4">I13/(S$6 *LN((S$8*I13+S$9)/I13) +S$7)</f>
        <v>4.8065265224268697E-2</v>
      </c>
    </row>
    <row r="14" spans="1:19" x14ac:dyDescent="0.25">
      <c r="A14" s="11">
        <v>0.30020000000000002</v>
      </c>
      <c r="B14" s="11">
        <v>0.16500000000000001</v>
      </c>
      <c r="C14" s="11">
        <v>0.12130000000000001</v>
      </c>
      <c r="D14" s="11">
        <v>7.0699999999999999E-2</v>
      </c>
      <c r="E14" s="11">
        <v>4.7100000000000003E-2</v>
      </c>
      <c r="F14" s="11">
        <v>3.6299999999999999E-2</v>
      </c>
      <c r="G14" s="11">
        <v>2.93E-2</v>
      </c>
      <c r="H14" s="11">
        <v>1.9400000000000001E-2</v>
      </c>
      <c r="I14" s="11">
        <v>1.3899999999999999E-2</v>
      </c>
      <c r="J14" s="3"/>
      <c r="K14" s="20">
        <f t="shared" si="2"/>
        <v>0.29510515192953868</v>
      </c>
      <c r="L14" s="20">
        <f t="shared" si="2"/>
        <v>0.18150907137149264</v>
      </c>
      <c r="M14" s="20">
        <f t="shared" si="2"/>
        <v>0.13000901205006624</v>
      </c>
      <c r="N14" s="20">
        <f t="shared" si="2"/>
        <v>9.3430075728039769E-2</v>
      </c>
      <c r="O14" s="20">
        <f t="shared" si="2"/>
        <v>5.9640000891311461E-2</v>
      </c>
      <c r="P14" s="20">
        <f t="shared" si="2"/>
        <v>5.0256953954311824E-2</v>
      </c>
      <c r="Q14" s="20">
        <f t="shared" si="2"/>
        <v>3.3656392608662385E-2</v>
      </c>
      <c r="R14" s="20">
        <f t="shared" si="3"/>
        <v>2.8990910449658205E-2</v>
      </c>
      <c r="S14" s="20">
        <f t="shared" si="4"/>
        <v>4.5664315705484203E-2</v>
      </c>
    </row>
    <row r="15" spans="1:19" x14ac:dyDescent="0.25">
      <c r="A15" s="11">
        <v>0.29849999999999999</v>
      </c>
      <c r="B15" s="11">
        <v>0.14899999999999999</v>
      </c>
      <c r="C15" s="11">
        <v>0.10639999999999999</v>
      </c>
      <c r="D15" s="11">
        <v>5.2699999999999997E-2</v>
      </c>
      <c r="E15" s="11">
        <v>3.1399999999999997E-2</v>
      </c>
      <c r="F15" s="11">
        <v>2.4299999999999999E-2</v>
      </c>
      <c r="G15" s="11">
        <v>1.9599999999999999E-2</v>
      </c>
      <c r="H15" s="11">
        <v>1.2200000000000001E-2</v>
      </c>
      <c r="I15" s="11">
        <v>8.3000000000000001E-3</v>
      </c>
      <c r="J15" s="3"/>
      <c r="K15" s="20">
        <f t="shared" si="2"/>
        <v>0.2931146485357356</v>
      </c>
      <c r="L15" s="20">
        <f t="shared" si="2"/>
        <v>0.15320881932854666</v>
      </c>
      <c r="M15" s="20">
        <f t="shared" si="2"/>
        <v>0.10706963523663117</v>
      </c>
      <c r="N15" s="20">
        <f t="shared" si="2"/>
        <v>6.6756616622076353E-2</v>
      </c>
      <c r="O15" s="20">
        <f t="shared" si="2"/>
        <v>3.7917395439151944E-2</v>
      </c>
      <c r="P15" s="20">
        <f t="shared" si="2"/>
        <v>3.3643084878506264E-2</v>
      </c>
      <c r="Q15" s="20">
        <f t="shared" si="2"/>
        <v>2.2514173895214425E-2</v>
      </c>
      <c r="R15" s="20">
        <f t="shared" si="3"/>
        <v>2.110929028903592E-2</v>
      </c>
      <c r="S15" s="20">
        <f t="shared" si="4"/>
        <v>4.7931719534866628E-2</v>
      </c>
    </row>
    <row r="16" spans="1:19" x14ac:dyDescent="0.25">
      <c r="A16" s="11">
        <v>0.2964</v>
      </c>
      <c r="B16" s="11">
        <v>0.1527</v>
      </c>
      <c r="C16" s="11">
        <v>0.11</v>
      </c>
      <c r="D16" s="11">
        <v>6.0299999999999999E-2</v>
      </c>
      <c r="E16" s="11">
        <v>3.8399999999999997E-2</v>
      </c>
      <c r="F16" s="11">
        <v>2.9700000000000001E-2</v>
      </c>
      <c r="G16" s="11">
        <v>2.3900000000000001E-2</v>
      </c>
      <c r="H16" s="11">
        <v>1.5299999999999999E-2</v>
      </c>
      <c r="I16" s="11">
        <v>1.0699999999999999E-2</v>
      </c>
      <c r="J16" s="3"/>
      <c r="K16" s="20">
        <f t="shared" si="2"/>
        <v>0.29065472220791078</v>
      </c>
      <c r="L16" s="20">
        <f t="shared" si="2"/>
        <v>0.15985962146058383</v>
      </c>
      <c r="M16" s="20">
        <f t="shared" si="2"/>
        <v>0.11267504764197842</v>
      </c>
      <c r="N16" s="20">
        <f t="shared" si="2"/>
        <v>7.8035733735867349E-2</v>
      </c>
      <c r="O16" s="20">
        <f t="shared" si="2"/>
        <v>4.7619417954779031E-2</v>
      </c>
      <c r="P16" s="20">
        <f t="shared" si="2"/>
        <v>4.1119325962618768E-2</v>
      </c>
      <c r="Q16" s="20">
        <f t="shared" si="2"/>
        <v>2.7453507964062492E-2</v>
      </c>
      <c r="R16" s="20">
        <f t="shared" si="3"/>
        <v>2.4498835786318372E-2</v>
      </c>
      <c r="S16" s="20">
        <f t="shared" si="4"/>
        <v>4.4667328334778947E-2</v>
      </c>
    </row>
    <row r="17" spans="1:19" x14ac:dyDescent="0.25">
      <c r="A17" s="11">
        <v>0.29680000000000001</v>
      </c>
      <c r="B17" s="11">
        <v>0.16470000000000001</v>
      </c>
      <c r="C17" s="11">
        <v>0.12139999999999999</v>
      </c>
      <c r="D17" s="11">
        <v>7.2400000000000006E-2</v>
      </c>
      <c r="E17" s="11">
        <v>4.9099999999999998E-2</v>
      </c>
      <c r="F17" s="11">
        <v>3.8100000000000002E-2</v>
      </c>
      <c r="G17" s="11">
        <v>3.09E-2</v>
      </c>
      <c r="H17" s="11">
        <v>2.07E-2</v>
      </c>
      <c r="I17" s="11">
        <v>1.4999999999999999E-2</v>
      </c>
      <c r="J17" s="3"/>
      <c r="K17" s="20">
        <f t="shared" si="2"/>
        <v>0.29112337224993479</v>
      </c>
      <c r="L17" s="20">
        <f t="shared" si="2"/>
        <v>0.18098765845478132</v>
      </c>
      <c r="M17" s="20">
        <f t="shared" si="2"/>
        <v>0.13016105199635472</v>
      </c>
      <c r="N17" s="20">
        <f t="shared" si="2"/>
        <v>9.5943518013335949E-2</v>
      </c>
      <c r="O17" s="20">
        <f t="shared" si="2"/>
        <v>6.2399953246196238E-2</v>
      </c>
      <c r="P17" s="20">
        <f t="shared" si="2"/>
        <v>5.2749034315682661E-2</v>
      </c>
      <c r="Q17" s="20">
        <f t="shared" si="2"/>
        <v>3.5494284355210501E-2</v>
      </c>
      <c r="R17" s="20">
        <f t="shared" si="3"/>
        <v>3.0414129583531773E-2</v>
      </c>
      <c r="S17" s="20">
        <f t="shared" si="4"/>
        <v>4.6509004651763448E-2</v>
      </c>
    </row>
    <row r="18" spans="1:19" x14ac:dyDescent="0.25">
      <c r="A18" s="11">
        <v>0.29389999999999999</v>
      </c>
      <c r="B18" s="11">
        <v>0.159</v>
      </c>
      <c r="C18" s="11">
        <v>0.1163</v>
      </c>
      <c r="D18" s="11">
        <v>6.3399999999999998E-2</v>
      </c>
      <c r="E18" s="11">
        <v>4.02E-2</v>
      </c>
      <c r="F18" s="11">
        <v>3.1300000000000001E-2</v>
      </c>
      <c r="G18" s="11">
        <v>2.5399999999999999E-2</v>
      </c>
      <c r="H18" s="11">
        <v>1.66E-2</v>
      </c>
      <c r="I18" s="11">
        <v>1.18E-2</v>
      </c>
      <c r="K18" s="20">
        <f t="shared" si="2"/>
        <v>0.28772464878658127</v>
      </c>
      <c r="L18" s="20">
        <f t="shared" si="2"/>
        <v>0.1710236897174256</v>
      </c>
      <c r="M18" s="20">
        <f t="shared" si="2"/>
        <v>0.12237982317596728</v>
      </c>
      <c r="N18" s="20">
        <f t="shared" si="2"/>
        <v>8.2628251474867118E-2</v>
      </c>
      <c r="O18" s="20">
        <f t="shared" si="2"/>
        <v>5.0108941872777937E-2</v>
      </c>
      <c r="P18" s="20">
        <f t="shared" si="2"/>
        <v>4.3334508506059508E-2</v>
      </c>
      <c r="Q18" s="20">
        <f t="shared" si="2"/>
        <v>2.9176531476451349E-2</v>
      </c>
      <c r="R18" s="20">
        <f t="shared" si="3"/>
        <v>2.5923259392403118E-2</v>
      </c>
      <c r="S18" s="20">
        <f t="shared" si="4"/>
        <v>4.4654519925518339E-2</v>
      </c>
    </row>
    <row r="19" spans="1:19" x14ac:dyDescent="0.25">
      <c r="A19" s="11">
        <v>0.28749999999999998</v>
      </c>
      <c r="B19" s="11">
        <v>0.16350000000000001</v>
      </c>
      <c r="C19" s="11">
        <v>0.1216</v>
      </c>
      <c r="D19" s="11">
        <v>6.9599999999999995E-2</v>
      </c>
      <c r="E19" s="11">
        <v>4.5699999999999998E-2</v>
      </c>
      <c r="F19" s="11">
        <v>3.5700000000000003E-2</v>
      </c>
      <c r="G19" s="11">
        <v>2.9100000000000001E-2</v>
      </c>
      <c r="H19" s="11">
        <v>1.95E-2</v>
      </c>
      <c r="I19" s="11">
        <v>1.41E-2</v>
      </c>
      <c r="K19" s="20">
        <f t="shared" si="2"/>
        <v>0.28021533579715346</v>
      </c>
      <c r="L19" s="20">
        <f t="shared" si="2"/>
        <v>0.17889918473711502</v>
      </c>
      <c r="M19" s="20">
        <f t="shared" si="2"/>
        <v>0.13046507307393007</v>
      </c>
      <c r="N19" s="20">
        <f t="shared" si="2"/>
        <v>9.1803363552744807E-2</v>
      </c>
      <c r="O19" s="20">
        <f t="shared" si="2"/>
        <v>5.7707421621552041E-2</v>
      </c>
      <c r="P19" s="20">
        <f t="shared" si="2"/>
        <v>4.9426260500521554E-2</v>
      </c>
      <c r="Q19" s="20">
        <f t="shared" si="2"/>
        <v>3.3426656140343868E-2</v>
      </c>
      <c r="R19" s="20">
        <f t="shared" si="3"/>
        <v>2.9100419030218452E-2</v>
      </c>
      <c r="S19" s="20">
        <f t="shared" si="4"/>
        <v>4.5805730713106195E-2</v>
      </c>
    </row>
    <row r="20" spans="1:19" x14ac:dyDescent="0.25">
      <c r="A20" s="11">
        <v>0.29380000000000001</v>
      </c>
      <c r="B20" s="11">
        <v>0.17480000000000001</v>
      </c>
      <c r="C20" s="11">
        <v>0.13200000000000001</v>
      </c>
      <c r="D20" s="11">
        <v>8.09E-2</v>
      </c>
      <c r="E20" s="11">
        <v>5.6099999999999997E-2</v>
      </c>
      <c r="F20" s="11">
        <v>4.3900000000000002E-2</v>
      </c>
      <c r="G20" s="11">
        <v>3.5700000000000003E-2</v>
      </c>
      <c r="H20" s="11">
        <v>2.46E-2</v>
      </c>
      <c r="I20" s="11">
        <v>1.8200000000000001E-2</v>
      </c>
      <c r="K20" s="20">
        <f t="shared" si="2"/>
        <v>0.28760740905723853</v>
      </c>
      <c r="L20" s="20">
        <f t="shared" si="2"/>
        <v>0.19840731961999472</v>
      </c>
      <c r="M20" s="20">
        <f t="shared" si="2"/>
        <v>0.1461812624116913</v>
      </c>
      <c r="N20" s="20">
        <f t="shared" si="2"/>
        <v>0.1085021301720723</v>
      </c>
      <c r="O20" s="20">
        <f t="shared" si="2"/>
        <v>7.2053404153012188E-2</v>
      </c>
      <c r="P20" s="20">
        <f t="shared" si="2"/>
        <v>6.0779071035655351E-2</v>
      </c>
      <c r="Q20" s="20">
        <f t="shared" si="2"/>
        <v>4.1007959594854849E-2</v>
      </c>
      <c r="R20" s="20">
        <f t="shared" si="3"/>
        <v>3.4677936831507716E-2</v>
      </c>
      <c r="S20" s="20">
        <f t="shared" si="4"/>
        <v>4.960895562193094E-2</v>
      </c>
    </row>
  </sheetData>
  <mergeCells count="6">
    <mergeCell ref="A1:H1"/>
    <mergeCell ref="K10:S10"/>
    <mergeCell ref="H5:J5"/>
    <mergeCell ref="I8:I9"/>
    <mergeCell ref="H6:I7"/>
    <mergeCell ref="A10:G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A21"/>
  <sheetViews>
    <sheetView workbookViewId="0">
      <selection activeCell="A3" sqref="A3"/>
    </sheetView>
  </sheetViews>
  <sheetFormatPr defaultRowHeight="15" x14ac:dyDescent="0.25"/>
  <cols>
    <col min="1" max="1" width="100.7109375" customWidth="1"/>
  </cols>
  <sheetData>
    <row r="1" spans="1:1" ht="75" customHeight="1" thickBot="1" x14ac:dyDescent="0.3">
      <c r="A1" s="55" t="s">
        <v>43</v>
      </c>
    </row>
    <row r="2" spans="1:1" ht="30" customHeight="1" x14ac:dyDescent="0.3">
      <c r="A2" s="52" t="s">
        <v>40</v>
      </c>
    </row>
    <row r="3" spans="1:1" ht="99.95" customHeight="1" thickBot="1" x14ac:dyDescent="0.3">
      <c r="A3" s="51" t="s">
        <v>44</v>
      </c>
    </row>
    <row r="4" spans="1:1" ht="30" customHeight="1" x14ac:dyDescent="0.25">
      <c r="A4" s="53" t="s">
        <v>41</v>
      </c>
    </row>
    <row r="5" spans="1:1" ht="99.95" customHeight="1" thickBot="1" x14ac:dyDescent="0.3">
      <c r="A5" s="49" t="s">
        <v>37</v>
      </c>
    </row>
    <row r="6" spans="1:1" ht="30" customHeight="1" x14ac:dyDescent="0.3">
      <c r="A6" s="54" t="s">
        <v>42</v>
      </c>
    </row>
    <row r="7" spans="1:1" ht="99.95" customHeight="1" thickBot="1" x14ac:dyDescent="0.3">
      <c r="A7" s="50" t="s">
        <v>36</v>
      </c>
    </row>
    <row r="9" spans="1:1" ht="15.75" customHeight="1" x14ac:dyDescent="0.25"/>
    <row r="14" spans="1:1" ht="15" customHeight="1" x14ac:dyDescent="0.3"/>
    <row r="15" spans="1:1" ht="15" customHeight="1" x14ac:dyDescent="0.25"/>
    <row r="21" ht="15" customHeight="1" x14ac:dyDescent="0.25"/>
  </sheetData>
  <pageMargins left="0.7" right="0.7" top="0.75" bottom="0.75" header="0.3" footer="0.3"/>
  <pageSetup orientation="portrait" horizontalDpi="30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0"/>
  </sheetPr>
  <dimension ref="A1:AH20"/>
  <sheetViews>
    <sheetView tabSelected="1" workbookViewId="0">
      <selection activeCell="AB19" sqref="AB19"/>
    </sheetView>
  </sheetViews>
  <sheetFormatPr defaultColWidth="9.140625" defaultRowHeight="15" x14ac:dyDescent="0.25"/>
  <cols>
    <col min="1" max="9" width="7.140625" style="37" customWidth="1"/>
    <col min="10" max="10" width="3.5703125" style="37" customWidth="1"/>
    <col min="11" max="11" width="9.140625" style="37"/>
    <col min="12" max="12" width="12" style="37" customWidth="1"/>
    <col min="13" max="13" width="3.28515625" style="37" customWidth="1"/>
    <col min="14" max="22" width="7.5703125" style="37" customWidth="1"/>
    <col min="23" max="23" width="2" style="37" customWidth="1"/>
    <col min="24" max="32" width="6.7109375" style="37" customWidth="1"/>
    <col min="33" max="16384" width="9.140625" style="37"/>
  </cols>
  <sheetData>
    <row r="1" spans="1:34" ht="21" x14ac:dyDescent="0.4">
      <c r="A1" s="42" t="s">
        <v>30</v>
      </c>
    </row>
    <row r="2" spans="1:34" ht="14.45" x14ac:dyDescent="0.3">
      <c r="A2" s="81" t="s">
        <v>8</v>
      </c>
      <c r="B2" s="82"/>
      <c r="C2" s="82"/>
      <c r="D2" s="82"/>
      <c r="E2" s="82"/>
      <c r="F2" s="82"/>
      <c r="G2" s="82"/>
      <c r="H2" s="82"/>
      <c r="I2" s="82"/>
      <c r="J2" s="82"/>
      <c r="K2" s="83"/>
      <c r="AH2" s="57"/>
    </row>
    <row r="3" spans="1:34" ht="14.45" x14ac:dyDescent="0.3">
      <c r="A3" s="78" t="s">
        <v>51</v>
      </c>
      <c r="B3" s="79"/>
      <c r="C3" s="79"/>
      <c r="D3" s="79"/>
      <c r="E3" s="79"/>
      <c r="F3" s="79"/>
      <c r="G3" s="79"/>
      <c r="H3" s="79"/>
      <c r="I3" s="79"/>
      <c r="J3" s="79"/>
      <c r="K3" s="80"/>
      <c r="AH3"/>
    </row>
    <row r="4" spans="1:34" ht="18.75" customHeight="1" x14ac:dyDescent="0.3">
      <c r="A4" s="78" t="s">
        <v>49</v>
      </c>
      <c r="B4" s="79"/>
      <c r="C4" s="79"/>
      <c r="D4" s="79"/>
      <c r="E4" s="79"/>
      <c r="F4" s="79"/>
      <c r="G4" s="79"/>
      <c r="H4" s="79"/>
      <c r="I4" s="79"/>
      <c r="J4" s="79"/>
      <c r="K4" s="80"/>
      <c r="AH4" s="57"/>
    </row>
    <row r="5" spans="1:34" ht="18.75" customHeight="1" x14ac:dyDescent="0.3">
      <c r="A5" s="78" t="s">
        <v>50</v>
      </c>
      <c r="B5" s="79"/>
      <c r="C5" s="79"/>
      <c r="D5" s="79"/>
      <c r="E5" s="79"/>
      <c r="F5" s="79"/>
      <c r="G5" s="79"/>
      <c r="H5" s="79"/>
      <c r="I5" s="79"/>
      <c r="J5" s="79"/>
      <c r="K5" s="80"/>
      <c r="AH5"/>
    </row>
    <row r="6" spans="1:34" ht="14.45" x14ac:dyDescent="0.3">
      <c r="AH6" s="57"/>
    </row>
    <row r="7" spans="1:34" ht="28.9" x14ac:dyDescent="0.3">
      <c r="A7" s="77" t="s">
        <v>48</v>
      </c>
      <c r="B7" s="77"/>
      <c r="C7" s="77"/>
      <c r="D7" s="77"/>
      <c r="E7" s="77"/>
      <c r="F7" s="77"/>
      <c r="G7" s="77"/>
      <c r="H7" s="77"/>
      <c r="I7" s="77"/>
      <c r="J7" s="60"/>
      <c r="K7" s="58" t="s">
        <v>46</v>
      </c>
      <c r="L7" s="58" t="s">
        <v>47</v>
      </c>
      <c r="N7" s="77" t="s">
        <v>45</v>
      </c>
      <c r="O7" s="77"/>
      <c r="P7" s="77"/>
      <c r="Q7" s="77"/>
      <c r="R7" s="77"/>
      <c r="S7" s="77"/>
      <c r="T7" s="77"/>
      <c r="U7" s="77"/>
      <c r="V7" s="77"/>
      <c r="X7" s="77" t="s">
        <v>22</v>
      </c>
      <c r="Y7" s="77"/>
      <c r="Z7" s="77"/>
      <c r="AA7" s="77"/>
      <c r="AB7" s="77"/>
      <c r="AC7" s="77"/>
      <c r="AD7" s="77"/>
      <c r="AE7" s="77"/>
      <c r="AF7" s="77"/>
      <c r="AH7" s="57"/>
    </row>
    <row r="8" spans="1:34" ht="14.45" x14ac:dyDescent="0.3">
      <c r="A8" s="2">
        <v>0</v>
      </c>
      <c r="B8" s="2">
        <v>200</v>
      </c>
      <c r="C8" s="2">
        <v>300</v>
      </c>
      <c r="D8" s="2">
        <v>450</v>
      </c>
      <c r="E8" s="2">
        <v>600</v>
      </c>
      <c r="F8" s="2">
        <v>750</v>
      </c>
      <c r="G8" s="2">
        <v>900</v>
      </c>
      <c r="H8" s="2">
        <v>1200</v>
      </c>
      <c r="I8" s="2">
        <v>1500</v>
      </c>
      <c r="J8" s="61"/>
      <c r="N8" s="2">
        <v>0</v>
      </c>
      <c r="O8" s="2">
        <v>200</v>
      </c>
      <c r="P8" s="2">
        <v>300</v>
      </c>
      <c r="Q8" s="2">
        <v>450</v>
      </c>
      <c r="R8" s="2">
        <v>600</v>
      </c>
      <c r="S8" s="2">
        <v>750</v>
      </c>
      <c r="T8" s="2">
        <v>900</v>
      </c>
      <c r="U8" s="2">
        <v>1200</v>
      </c>
      <c r="V8" s="2">
        <v>1500</v>
      </c>
      <c r="X8" s="2">
        <v>0</v>
      </c>
      <c r="Y8" s="2">
        <v>200</v>
      </c>
      <c r="Z8" s="2">
        <v>300</v>
      </c>
      <c r="AA8" s="2">
        <v>450</v>
      </c>
      <c r="AB8" s="2">
        <v>600</v>
      </c>
      <c r="AC8" s="2">
        <v>750</v>
      </c>
      <c r="AD8" s="2">
        <v>900</v>
      </c>
      <c r="AE8" s="2">
        <v>1200</v>
      </c>
      <c r="AF8" s="2">
        <v>1500</v>
      </c>
      <c r="AH8"/>
    </row>
    <row r="9" spans="1:34" ht="14.45" x14ac:dyDescent="0.3">
      <c r="A9" s="64">
        <v>0.389046</v>
      </c>
      <c r="B9" s="64">
        <v>0.28059825000000005</v>
      </c>
      <c r="C9" s="64">
        <v>0.23126100000000005</v>
      </c>
      <c r="D9" s="64">
        <v>0.18745799999999999</v>
      </c>
      <c r="E9" s="64">
        <v>0.15707850000000004</v>
      </c>
      <c r="F9" s="64">
        <v>0.130467</v>
      </c>
      <c r="G9" s="64">
        <v>0.10738800000000001</v>
      </c>
      <c r="H9" s="64">
        <v>7.0296750000000005E-2</v>
      </c>
      <c r="I9" s="64">
        <v>4.3567500000000002E-2</v>
      </c>
      <c r="J9" s="62"/>
      <c r="K9" s="65">
        <v>47.1</v>
      </c>
      <c r="L9" s="59">
        <f t="shared" ref="L9:L16" si="0">40/K9</f>
        <v>0.84925690021231415</v>
      </c>
      <c r="N9" s="39">
        <f>A9*$L$9</f>
        <v>0.33039999999999997</v>
      </c>
      <c r="O9" s="39">
        <f t="shared" ref="O9:V9" si="1">B9*$L$9</f>
        <v>0.23830000000000001</v>
      </c>
      <c r="P9" s="39">
        <f t="shared" si="1"/>
        <v>0.19640000000000002</v>
      </c>
      <c r="Q9" s="39">
        <f t="shared" si="1"/>
        <v>0.15919999999999998</v>
      </c>
      <c r="R9" s="39">
        <f t="shared" si="1"/>
        <v>0.13340000000000002</v>
      </c>
      <c r="S9" s="39">
        <f t="shared" si="1"/>
        <v>0.1108</v>
      </c>
      <c r="T9" s="39">
        <f t="shared" si="1"/>
        <v>9.1200000000000003E-2</v>
      </c>
      <c r="U9" s="39">
        <f t="shared" si="1"/>
        <v>5.9699999999999996E-2</v>
      </c>
      <c r="V9" s="39">
        <f t="shared" si="1"/>
        <v>3.6999999999999998E-2</v>
      </c>
      <c r="W9" s="40"/>
      <c r="X9" s="41">
        <f>N9/(Config!C$3 *LN(Config!C$6/N9) +Config!C$4)</f>
        <v>0.36089317464975773</v>
      </c>
      <c r="Y9" s="41">
        <f xml:space="preserve"> Config!D$6/(Config!C$6/X9 + 5 / 6 * (Config!E$6/Z9 - Config!C$6/X9))</f>
        <v>0.29666447333589185</v>
      </c>
      <c r="Z9" s="41">
        <f>P9/(Config!E$3 *LN(Config!E$6/P9) +Config!E$4)</f>
        <v>0.25969047033485027</v>
      </c>
      <c r="AA9" s="41">
        <f xml:space="preserve"> Config!F$6/(Config!E$6/Z9 + 1 / 2 * (Config!G$6/AB9 - Config!E$6/Z9))</f>
        <v>0.20314879457530202</v>
      </c>
      <c r="AB9" s="41">
        <f>R9/(Config!G$3 *LN(Config!G$6/R9) +Config!G$4)</f>
        <v>0.18432530261944965</v>
      </c>
      <c r="AC9" s="41">
        <f xml:space="preserve"> Config!H$6/(Config!G$6/AB9 + 1 / 2 * (Config!I$6/AD9 - Config!G$6/AB9))</f>
        <v>0.14103007480337346</v>
      </c>
      <c r="AD9" s="41">
        <f>(T9*AB9)/(Config!I$3*R9)</f>
        <v>0.11261438716897455</v>
      </c>
      <c r="AE9" s="41">
        <f xml:space="preserve"> Config!J$6/(Config!I$6/AD9 + 1 / 2 * (Config!K$6/AF9 - Config!I$6/AD9))</f>
        <v>7.5231854004126908E-2</v>
      </c>
      <c r="AF9" s="41">
        <f>V9/(Config!K$3 * LN((Config!K$6*AD9) / (Config!I$6*V9)) + Config!K$4)</f>
        <v>5.4256893011937354E-2</v>
      </c>
      <c r="AH9" s="57"/>
    </row>
    <row r="10" spans="1:34" ht="14.45" x14ac:dyDescent="0.3">
      <c r="A10" s="64">
        <v>1.9486642500000002</v>
      </c>
      <c r="B10" s="64">
        <v>1.4389897500000002</v>
      </c>
      <c r="C10" s="64">
        <v>1.1769975000000001</v>
      </c>
      <c r="D10" s="64">
        <v>0.86396625000000005</v>
      </c>
      <c r="E10" s="64">
        <v>0.65814074999999994</v>
      </c>
      <c r="F10" s="64">
        <v>0.52291125000000005</v>
      </c>
      <c r="G10" s="64">
        <v>0.43120799999999998</v>
      </c>
      <c r="H10" s="64">
        <v>0.29132775</v>
      </c>
      <c r="I10" s="64">
        <v>0.18686475000000002</v>
      </c>
      <c r="J10" s="62"/>
      <c r="K10" s="65">
        <v>47.7</v>
      </c>
      <c r="L10" s="59">
        <f t="shared" si="0"/>
        <v>0.83857442348008382</v>
      </c>
      <c r="N10" s="39">
        <f>A10*$L$10</f>
        <v>1.6341000000000001</v>
      </c>
      <c r="O10" s="39">
        <f t="shared" ref="O10:V10" si="2">B10*$L$10</f>
        <v>1.2067000000000001</v>
      </c>
      <c r="P10" s="39">
        <f t="shared" si="2"/>
        <v>0.9870000000000001</v>
      </c>
      <c r="Q10" s="39">
        <f t="shared" si="2"/>
        <v>0.72450000000000003</v>
      </c>
      <c r="R10" s="39">
        <f t="shared" si="2"/>
        <v>0.55189999999999995</v>
      </c>
      <c r="S10" s="39">
        <f t="shared" si="2"/>
        <v>0.4385</v>
      </c>
      <c r="T10" s="39">
        <f t="shared" si="2"/>
        <v>0.36159999999999998</v>
      </c>
      <c r="U10" s="39">
        <f t="shared" si="2"/>
        <v>0.24429999999999999</v>
      </c>
      <c r="V10" s="39">
        <f t="shared" si="2"/>
        <v>0.15670000000000001</v>
      </c>
      <c r="W10" s="40"/>
      <c r="X10" s="41">
        <f>N10/(Config!C$3 *LN(Config!C$6/N10) +Config!C$4)</f>
        <v>1.857904807123129</v>
      </c>
      <c r="Y10" s="41">
        <f xml:space="preserve"> Config!D$6/(Config!C$6/X10 + 5 / 6 * (Config!E$6/Z10 - Config!C$6/X10))</f>
        <v>1.3899767953601456</v>
      </c>
      <c r="Z10" s="41">
        <f>P10/(Config!E$3 *LN(Config!E$6/P10) +Config!E$4)</f>
        <v>1.1568810796411366</v>
      </c>
      <c r="AA10" s="41">
        <f xml:space="preserve"> Config!F$6/(Config!E$6/Z10 + 1 / 2 * (Config!G$6/AB10 - Config!E$6/Z10))</f>
        <v>0.8024546757683414</v>
      </c>
      <c r="AB10" s="41">
        <f>R10/(Config!G$3 *LN(Config!G$6/R10) +Config!G$4)</f>
        <v>0.6272145993156848</v>
      </c>
      <c r="AC10" s="41">
        <f xml:space="preserve"> Config!H$6/(Config!G$6/AB10 + 1 / 2 * (Config!I$6/AD10 - Config!G$6/AB10))</f>
        <v>0.46925270087040921</v>
      </c>
      <c r="AD10" s="41">
        <f>(T10*AB10)/(Config!I$3*R10)</f>
        <v>0.36724348483134567</v>
      </c>
      <c r="AE10" s="41">
        <f xml:space="preserve"> Config!J$6/(Config!I$6/AD10 + 1 / 2 * (Config!K$6/AF10 - Config!I$6/AD10))</f>
        <v>0.23962404145619751</v>
      </c>
      <c r="AF10" s="41">
        <f>V10/(Config!K$3 * LN((Config!K$6*AD10) / (Config!I$6*V10)) + Config!K$4)</f>
        <v>0.16964406778649427</v>
      </c>
      <c r="AH10"/>
    </row>
    <row r="11" spans="1:34" ht="14.45" x14ac:dyDescent="0.3">
      <c r="A11" s="64">
        <v>2.4459615000000006</v>
      </c>
      <c r="B11" s="64">
        <v>1.7721900000000004</v>
      </c>
      <c r="C11" s="64">
        <v>1.4233635000000002</v>
      </c>
      <c r="D11" s="64">
        <v>1.0203795000000002</v>
      </c>
      <c r="E11" s="64">
        <v>0.76407750000000008</v>
      </c>
      <c r="F11" s="64">
        <v>0.60304050000000009</v>
      </c>
      <c r="G11" s="64">
        <v>0.49629150000000011</v>
      </c>
      <c r="H11" s="64">
        <v>0.33447149999999998</v>
      </c>
      <c r="I11" s="64">
        <v>0.21402000000000004</v>
      </c>
      <c r="J11" s="62"/>
      <c r="K11" s="65">
        <v>52.2</v>
      </c>
      <c r="L11" s="59">
        <f t="shared" si="0"/>
        <v>0.76628352490421447</v>
      </c>
      <c r="N11" s="39">
        <f>A11*$L$11</f>
        <v>1.8743000000000003</v>
      </c>
      <c r="O11" s="39">
        <f t="shared" ref="O11:V11" si="3">B11*$L$11</f>
        <v>1.3580000000000001</v>
      </c>
      <c r="P11" s="39">
        <f t="shared" si="3"/>
        <v>1.0907</v>
      </c>
      <c r="Q11" s="39">
        <f t="shared" si="3"/>
        <v>0.78190000000000004</v>
      </c>
      <c r="R11" s="39">
        <f t="shared" si="3"/>
        <v>0.58550000000000002</v>
      </c>
      <c r="S11" s="39">
        <f t="shared" si="3"/>
        <v>0.46210000000000001</v>
      </c>
      <c r="T11" s="39">
        <f t="shared" si="3"/>
        <v>0.38030000000000003</v>
      </c>
      <c r="U11" s="39">
        <f t="shared" si="3"/>
        <v>0.25629999999999997</v>
      </c>
      <c r="V11" s="39">
        <f t="shared" si="3"/>
        <v>0.16400000000000001</v>
      </c>
      <c r="X11" s="41">
        <f>N11/(Config!C$3 *LN(Config!C$6/N11) +Config!C$4)</f>
        <v>2.1385049685192201</v>
      </c>
      <c r="Y11" s="41">
        <f xml:space="preserve"> Config!D$6/(Config!C$6/X11 + 5 / 6 * (Config!E$6/Z11 - Config!C$6/X11))</f>
        <v>1.5493220083427328</v>
      </c>
      <c r="Z11" s="41">
        <f>P11/(Config!E$3 *LN(Config!E$6/P11) +Config!E$4)</f>
        <v>1.2695101694630444</v>
      </c>
      <c r="AA11" s="41">
        <f xml:space="preserve"> Config!F$6/(Config!E$6/Z11 + 1 / 2 * (Config!G$6/AB11 - Config!E$6/Z11))</f>
        <v>0.86317494735917022</v>
      </c>
      <c r="AB11" s="41">
        <f>R11/(Config!G$3 *LN(Config!G$6/R11) +Config!G$4)</f>
        <v>0.66051983150656091</v>
      </c>
      <c r="AC11" s="41">
        <f xml:space="preserve"> Config!H$6/(Config!G$6/AB11 + 1 / 2 * (Config!I$6/AD11 - Config!G$6/AB11))</f>
        <v>0.49188773609916275</v>
      </c>
      <c r="AD11" s="41">
        <f>(T11*AB11)/(Config!I$3*R11)</f>
        <v>0.38340272999322339</v>
      </c>
      <c r="AE11" s="41">
        <f xml:space="preserve"> Config!J$6/(Config!I$6/AD11 + 1 / 2 * (Config!K$6/AF11 - Config!I$6/AD11))</f>
        <v>0.25016778647438154</v>
      </c>
      <c r="AF11" s="41">
        <f>V11/(Config!K$3 * LN((Config!K$6*AD11) / (Config!I$6*V11)) + Config!K$4)</f>
        <v>0.17710857748495304</v>
      </c>
      <c r="AH11" s="57"/>
    </row>
    <row r="12" spans="1:34" ht="14.45" x14ac:dyDescent="0.3">
      <c r="A12" s="64">
        <v>1.4702294999999999</v>
      </c>
      <c r="B12" s="64">
        <v>1.1099895</v>
      </c>
      <c r="C12" s="64">
        <v>0.92868449999999991</v>
      </c>
      <c r="D12" s="64">
        <v>0.70519349999999992</v>
      </c>
      <c r="E12" s="64">
        <v>0.554817</v>
      </c>
      <c r="F12" s="64">
        <v>0.45397349999999997</v>
      </c>
      <c r="G12" s="64">
        <v>0.37860749999999999</v>
      </c>
      <c r="H12" s="64">
        <v>0.25880400000000003</v>
      </c>
      <c r="I12" s="64">
        <v>0.16803300000000002</v>
      </c>
      <c r="J12" s="62"/>
      <c r="K12" s="65">
        <v>47.4</v>
      </c>
      <c r="L12" s="59">
        <f t="shared" si="0"/>
        <v>0.84388185654008441</v>
      </c>
      <c r="N12" s="39">
        <f>A12*$L$12</f>
        <v>1.2406999999999999</v>
      </c>
      <c r="O12" s="39">
        <f t="shared" ref="O12:V12" si="4">B12*$L$12</f>
        <v>0.93669999999999998</v>
      </c>
      <c r="P12" s="39">
        <f t="shared" si="4"/>
        <v>0.78369999999999995</v>
      </c>
      <c r="Q12" s="39">
        <f t="shared" si="4"/>
        <v>0.59509999999999996</v>
      </c>
      <c r="R12" s="39">
        <f t="shared" si="4"/>
        <v>0.46820000000000001</v>
      </c>
      <c r="S12" s="39">
        <f t="shared" si="4"/>
        <v>0.3831</v>
      </c>
      <c r="T12" s="39">
        <f t="shared" si="4"/>
        <v>0.31950000000000001</v>
      </c>
      <c r="U12" s="39">
        <f t="shared" si="4"/>
        <v>0.21840000000000004</v>
      </c>
      <c r="V12" s="39">
        <f t="shared" si="4"/>
        <v>0.14180000000000001</v>
      </c>
      <c r="X12" s="41">
        <f>N12/(Config!C$3 *LN(Config!C$6/N12) +Config!C$4)</f>
        <v>1.4007559619988217</v>
      </c>
      <c r="Y12" s="41">
        <f xml:space="preserve"> Config!D$6/(Config!C$6/X12 + 5 / 6 * (Config!E$6/Z12 - Config!C$6/X12))</f>
        <v>1.0961654835575541</v>
      </c>
      <c r="Z12" s="41">
        <f>P12/(Config!E$3 *LN(Config!E$6/P12) +Config!E$4)</f>
        <v>0.93373502185787494</v>
      </c>
      <c r="AA12" s="41">
        <f xml:space="preserve"> Config!F$6/(Config!E$6/Z12 + 1 / 2 * (Config!G$6/AB12 - Config!E$6/Z12))</f>
        <v>0.66956818332875478</v>
      </c>
      <c r="AB12" s="41">
        <f>R12/(Config!G$3 *LN(Config!G$6/R12) +Config!G$4)</f>
        <v>0.54326241877260051</v>
      </c>
      <c r="AC12" s="41">
        <f xml:space="preserve"> Config!H$6/(Config!G$6/AB12 + 1 / 2 * (Config!I$6/AD12 - Config!G$6/AB12))</f>
        <v>0.41525899578597086</v>
      </c>
      <c r="AD12" s="41">
        <f>(T12*AB12)/(Config!I$3*R12)</f>
        <v>0.33129816431923959</v>
      </c>
      <c r="AE12" s="41">
        <f xml:space="preserve"> Config!J$6/(Config!I$6/AD12 + 1 / 2 * (Config!K$6/AF12 - Config!I$6/AD12))</f>
        <v>0.21617000010615359</v>
      </c>
      <c r="AF12" s="41">
        <f>V12/(Config!K$3 * LN((Config!K$6*AD12) / (Config!I$6*V12)) + Config!K$4)</f>
        <v>0.15303958951359031</v>
      </c>
    </row>
    <row r="13" spans="1:34" ht="14.45" x14ac:dyDescent="0.3">
      <c r="A13" s="64">
        <v>1.3723999999999998</v>
      </c>
      <c r="B13" s="64">
        <v>1.027655</v>
      </c>
      <c r="C13" s="64">
        <v>0.86162749999999999</v>
      </c>
      <c r="D13" s="64">
        <v>0.65764749999999994</v>
      </c>
      <c r="E13" s="64">
        <v>0.51711750000000001</v>
      </c>
      <c r="F13" s="64">
        <v>0.42229499999999998</v>
      </c>
      <c r="G13" s="64">
        <v>0.35202999999999995</v>
      </c>
      <c r="H13" s="64">
        <v>0.24040500000000001</v>
      </c>
      <c r="I13" s="64">
        <v>0.15592250000000002</v>
      </c>
      <c r="J13" s="62"/>
      <c r="K13" s="65">
        <v>47</v>
      </c>
      <c r="L13" s="59">
        <f t="shared" si="0"/>
        <v>0.85106382978723405</v>
      </c>
      <c r="N13" s="39">
        <f>A13*$L$13</f>
        <v>1.1679999999999999</v>
      </c>
      <c r="O13" s="39">
        <f t="shared" ref="O13:V13" si="5">B13*$L$13</f>
        <v>0.87460000000000004</v>
      </c>
      <c r="P13" s="39">
        <f t="shared" si="5"/>
        <v>0.73329999999999995</v>
      </c>
      <c r="Q13" s="39">
        <f t="shared" si="5"/>
        <v>0.55969999999999998</v>
      </c>
      <c r="R13" s="39">
        <f t="shared" si="5"/>
        <v>0.44009999999999999</v>
      </c>
      <c r="S13" s="39">
        <f t="shared" si="5"/>
        <v>0.3594</v>
      </c>
      <c r="T13" s="39">
        <f t="shared" si="5"/>
        <v>0.29959999999999998</v>
      </c>
      <c r="U13" s="39">
        <f t="shared" si="5"/>
        <v>0.2046</v>
      </c>
      <c r="V13" s="39">
        <f t="shared" si="5"/>
        <v>0.13270000000000001</v>
      </c>
      <c r="X13" s="41">
        <f>N13/(Config!C$3 *LN(Config!C$6/N13) +Config!C$4)</f>
        <v>1.3166577331587666</v>
      </c>
      <c r="Y13" s="41">
        <f xml:space="preserve"> Config!D$6/(Config!C$6/X13 + 5 / 6 * (Config!E$6/Z13 - Config!C$6/X13))</f>
        <v>1.0304934919545106</v>
      </c>
      <c r="Z13" s="41">
        <f>P13/(Config!E$3 *LN(Config!E$6/P13) +Config!E$4)</f>
        <v>0.87785764160742286</v>
      </c>
      <c r="AA13" s="41">
        <f xml:space="preserve"> Config!F$6/(Config!E$6/Z13 + 1 / 2 * (Config!G$6/AB13 - Config!E$6/Z13))</f>
        <v>0.63175225314625161</v>
      </c>
      <c r="AB13" s="41">
        <f>R13/(Config!G$3 *LN(Config!G$6/R13) +Config!G$4)</f>
        <v>0.51472360889795132</v>
      </c>
      <c r="AC13" s="41">
        <f xml:space="preserve"> Config!H$6/(Config!G$6/AB13 + 1 / 2 * (Config!I$6/AD13 - Config!G$6/AB13))</f>
        <v>0.39294819575993611</v>
      </c>
      <c r="AD13" s="41">
        <f>(T13*AB13)/(Config!I$3*R13)</f>
        <v>0.31313704035870116</v>
      </c>
      <c r="AE13" s="41">
        <f xml:space="preserve"> Config!J$6/(Config!I$6/AD13 + 1 / 2 * (Config!K$6/AF13 - Config!I$6/AD13))</f>
        <v>0.20432378041788335</v>
      </c>
      <c r="AF13" s="41">
        <f>V13/(Config!K$3 * LN((Config!K$6*AD13) / (Config!I$6*V13)) + Config!K$4)</f>
        <v>0.14465501854570167</v>
      </c>
      <c r="AH13"/>
    </row>
    <row r="14" spans="1:34" ht="14.45" x14ac:dyDescent="0.3">
      <c r="A14" s="64">
        <v>1.5810390000000001</v>
      </c>
      <c r="B14" s="64">
        <v>1.1903969999999999</v>
      </c>
      <c r="C14" s="64">
        <v>0.99756499999999992</v>
      </c>
      <c r="D14" s="64">
        <v>0.76084799999999997</v>
      </c>
      <c r="E14" s="64">
        <v>0.60626799999999992</v>
      </c>
      <c r="F14" s="64">
        <v>0.50356400000000001</v>
      </c>
      <c r="G14" s="64">
        <v>0.42299900000000001</v>
      </c>
      <c r="H14" s="64">
        <v>0.29173699999999997</v>
      </c>
      <c r="I14" s="64">
        <v>0.19112899999999999</v>
      </c>
      <c r="J14" s="62"/>
      <c r="K14" s="65">
        <v>52.4</v>
      </c>
      <c r="L14" s="59">
        <f t="shared" si="0"/>
        <v>0.76335877862595425</v>
      </c>
      <c r="N14" s="39">
        <f>A14*$L$14</f>
        <v>1.2069000000000001</v>
      </c>
      <c r="O14" s="39">
        <f t="shared" ref="O14:V14" si="6">B14*$L$14</f>
        <v>0.90869999999999995</v>
      </c>
      <c r="P14" s="39">
        <f t="shared" si="6"/>
        <v>0.76149999999999995</v>
      </c>
      <c r="Q14" s="39">
        <f t="shared" si="6"/>
        <v>0.58079999999999998</v>
      </c>
      <c r="R14" s="39">
        <f t="shared" si="6"/>
        <v>0.46279999999999999</v>
      </c>
      <c r="S14" s="39">
        <f t="shared" si="6"/>
        <v>0.38440000000000002</v>
      </c>
      <c r="T14" s="39">
        <f t="shared" si="6"/>
        <v>0.32290000000000002</v>
      </c>
      <c r="U14" s="39">
        <f t="shared" si="6"/>
        <v>0.22269999999999998</v>
      </c>
      <c r="V14" s="39">
        <f t="shared" si="6"/>
        <v>0.1459</v>
      </c>
      <c r="X14" s="41">
        <f>N14/(Config!C$3 *LN(Config!C$6/N14) +Config!C$4)</f>
        <v>1.3616402314790073</v>
      </c>
      <c r="Y14" s="41">
        <f xml:space="preserve"> Config!D$6/(Config!C$6/X14 + 5 / 6 * (Config!E$6/Z14 - Config!C$6/X14))</f>
        <v>1.0666969527382397</v>
      </c>
      <c r="Z14" s="41">
        <f>P14/(Config!E$3 *LN(Config!E$6/P14) +Config!E$4)</f>
        <v>0.909152581193575</v>
      </c>
      <c r="AA14" s="41">
        <f xml:space="preserve"> Config!F$6/(Config!E$6/Z14 + 1 / 2 * (Config!G$6/AB14 - Config!E$6/Z14))</f>
        <v>0.6569273261259454</v>
      </c>
      <c r="AB14" s="41">
        <f>R14/(Config!G$3 *LN(Config!G$6/R14) +Config!G$4)</f>
        <v>0.5377929624285428</v>
      </c>
      <c r="AC14" s="41">
        <f xml:space="preserve"> Config!H$6/(Config!G$6/AB14 + 1 / 2 * (Config!I$6/AD14 - Config!G$6/AB14))</f>
        <v>0.41584353082589137</v>
      </c>
      <c r="AD14" s="41">
        <f>(T14*AB14)/(Config!I$3*R14)</f>
        <v>0.33532020496170972</v>
      </c>
      <c r="AE14" s="41">
        <f xml:space="preserve"> Config!J$6/(Config!I$6/AD14 + 1 / 2 * (Config!K$6/AF14 - Config!I$6/AD14))</f>
        <v>0.21881423565996266</v>
      </c>
      <c r="AF14" s="41">
        <f>V14/(Config!K$3 * LN((Config!K$6*AD14) / (Config!I$6*V14)) + Config!K$4)</f>
        <v>0.15492243790350513</v>
      </c>
    </row>
    <row r="15" spans="1:34" ht="14.45" x14ac:dyDescent="0.3">
      <c r="A15" s="64">
        <v>1.5006809999999999</v>
      </c>
      <c r="B15" s="64">
        <v>1.1028655000000001</v>
      </c>
      <c r="C15" s="64">
        <v>0.90246399999999993</v>
      </c>
      <c r="D15" s="64">
        <v>0.66800499999999996</v>
      </c>
      <c r="E15" s="64">
        <v>0.52520249999999991</v>
      </c>
      <c r="F15" s="64">
        <v>0.43390449999999992</v>
      </c>
      <c r="G15" s="64">
        <v>0.36375799999999997</v>
      </c>
      <c r="H15" s="64">
        <v>0.25011349999999999</v>
      </c>
      <c r="I15" s="64">
        <v>0.16335649999999996</v>
      </c>
      <c r="J15" s="62"/>
      <c r="K15" s="65">
        <v>47.8</v>
      </c>
      <c r="L15" s="59">
        <f t="shared" si="0"/>
        <v>0.83682008368200844</v>
      </c>
      <c r="N15" s="39">
        <f>A15*$L$15</f>
        <v>1.2558</v>
      </c>
      <c r="O15" s="39">
        <f t="shared" ref="O15:V15" si="7">B15*$L$15</f>
        <v>0.92290000000000016</v>
      </c>
      <c r="P15" s="39">
        <f t="shared" si="7"/>
        <v>0.75519999999999998</v>
      </c>
      <c r="Q15" s="39">
        <f t="shared" si="7"/>
        <v>0.55900000000000005</v>
      </c>
      <c r="R15" s="39">
        <f t="shared" si="7"/>
        <v>0.43949999999999995</v>
      </c>
      <c r="S15" s="39">
        <f t="shared" si="7"/>
        <v>0.36309999999999998</v>
      </c>
      <c r="T15" s="39">
        <f t="shared" si="7"/>
        <v>0.3044</v>
      </c>
      <c r="U15" s="39">
        <f t="shared" si="7"/>
        <v>0.20930000000000001</v>
      </c>
      <c r="V15" s="39">
        <f t="shared" si="7"/>
        <v>0.13669999999999999</v>
      </c>
      <c r="X15" s="41">
        <f>N15/(Config!C$3 *LN(Config!C$6/N15) +Config!C$4)</f>
        <v>1.4182397522953629</v>
      </c>
      <c r="Y15" s="41">
        <f xml:space="preserve"> Config!D$6/(Config!C$6/X15 + 5 / 6 * (Config!E$6/Z15 - Config!C$6/X15))</f>
        <v>1.076219909538821</v>
      </c>
      <c r="Z15" s="41">
        <f>P15/(Config!E$3 *LN(Config!E$6/P15) +Config!E$4)</f>
        <v>0.90216791197291746</v>
      </c>
      <c r="AA15" s="41">
        <f xml:space="preserve"> Config!F$6/(Config!E$6/Z15 + 1 / 2 * (Config!G$6/AB15 - Config!E$6/Z15))</f>
        <v>0.64072017919550384</v>
      </c>
      <c r="AB15" s="41">
        <f>R15/(Config!G$3 *LN(Config!G$6/R15) +Config!G$4)</f>
        <v>0.51411210637011218</v>
      </c>
      <c r="AC15" s="41">
        <f xml:space="preserve"> Config!H$6/(Config!G$6/AB15 + 1 / 2 * (Config!I$6/AD15 - Config!G$6/AB15))</f>
        <v>0.39602440153684987</v>
      </c>
      <c r="AD15" s="41">
        <f>(T15*AB15)/(Config!I$3*R15)</f>
        <v>0.31820977241597392</v>
      </c>
      <c r="AE15" s="41">
        <f xml:space="preserve"> Config!J$6/(Config!I$6/AD15 + 1 / 2 * (Config!K$6/AF15 - Config!I$6/AD15))</f>
        <v>0.20763142036215537</v>
      </c>
      <c r="AF15" s="41">
        <f>V15/(Config!K$3 * LN((Config!K$6*AD15) / (Config!I$6*V15)) + Config!K$4)</f>
        <v>0.14699544720470881</v>
      </c>
    </row>
    <row r="16" spans="1:34" ht="14.45" x14ac:dyDescent="0.3">
      <c r="A16" s="64">
        <v>1.6732894999999999</v>
      </c>
      <c r="B16" s="64">
        <v>1.174553</v>
      </c>
      <c r="C16" s="64">
        <v>0.92885450000000003</v>
      </c>
      <c r="D16" s="64">
        <v>0.65857450000000006</v>
      </c>
      <c r="E16" s="64">
        <v>0.49524149999999995</v>
      </c>
      <c r="F16" s="64">
        <v>0.39365349999999999</v>
      </c>
      <c r="G16" s="64">
        <v>0.32468550000000002</v>
      </c>
      <c r="H16" s="64">
        <v>0.21901999999999999</v>
      </c>
      <c r="I16" s="64">
        <v>0.14014950000000001</v>
      </c>
      <c r="J16" s="62"/>
      <c r="K16" s="65">
        <v>46.6</v>
      </c>
      <c r="L16" s="59">
        <f t="shared" si="0"/>
        <v>0.85836909871244638</v>
      </c>
      <c r="N16" s="39">
        <f>A16*$L$16</f>
        <v>1.4362999999999999</v>
      </c>
      <c r="O16" s="39">
        <f t="shared" ref="O16:V16" si="8">B16*$L$16</f>
        <v>1.0082</v>
      </c>
      <c r="P16" s="39">
        <f t="shared" si="8"/>
        <v>0.79730000000000001</v>
      </c>
      <c r="Q16" s="39">
        <f t="shared" si="8"/>
        <v>0.56530000000000002</v>
      </c>
      <c r="R16" s="39">
        <f t="shared" si="8"/>
        <v>0.42509999999999998</v>
      </c>
      <c r="S16" s="39">
        <f t="shared" si="8"/>
        <v>0.33789999999999998</v>
      </c>
      <c r="T16" s="39">
        <f t="shared" si="8"/>
        <v>0.2787</v>
      </c>
      <c r="U16" s="39">
        <f t="shared" si="8"/>
        <v>0.188</v>
      </c>
      <c r="V16" s="39">
        <f t="shared" si="8"/>
        <v>0.12030000000000002</v>
      </c>
      <c r="X16" s="41">
        <f>N16/(Config!C$3 *LN(Config!C$6/N16) +Config!C$4)</f>
        <v>1.6276421375652035</v>
      </c>
      <c r="Y16" s="41">
        <f xml:space="preserve"> Config!D$6/(Config!C$6/X16 + 5 / 6 * (Config!E$6/Z16 - Config!C$6/X16))</f>
        <v>1.1646695169230936</v>
      </c>
      <c r="Z16" s="41">
        <f>P16/(Config!E$3 *LN(Config!E$6/P16) +Config!E$4)</f>
        <v>0.94877176404355013</v>
      </c>
      <c r="AA16" s="41">
        <f xml:space="preserve"> Config!F$6/(Config!E$6/Z16 + 1 / 2 * (Config!G$6/AB16 - Config!E$6/Z16))</f>
        <v>0.64876742445130364</v>
      </c>
      <c r="AB16" s="41">
        <f>R16/(Config!G$3 *LN(Config!G$6/R16) +Config!G$4)</f>
        <v>0.49940822166304566</v>
      </c>
      <c r="AC16" s="41">
        <f xml:space="preserve"> Config!H$6/(Config!G$6/AB16 + 1 / 2 * (Config!I$6/AD16 - Config!G$6/AB16))</f>
        <v>0.37376119449244849</v>
      </c>
      <c r="AD16" s="41">
        <f>(T16*AB16)/(Config!I$3*R16)</f>
        <v>0.29259807528332366</v>
      </c>
      <c r="AE16" s="41">
        <f xml:space="preserve"> Config!J$6/(Config!I$6/AD16 + 1 / 2 * (Config!K$6/AF16 - Config!I$6/AD16))</f>
        <v>0.19100045421924222</v>
      </c>
      <c r="AF16" s="41">
        <f>V16/(Config!K$3 * LN((Config!K$6*AD16) / (Config!I$6*V16)) + Config!K$4)</f>
        <v>0.13526531315404797</v>
      </c>
    </row>
    <row r="17" spans="10:22" ht="14.45" x14ac:dyDescent="0.3">
      <c r="J17" s="63"/>
    </row>
    <row r="18" spans="10:22" ht="14.45" x14ac:dyDescent="0.3">
      <c r="N18" s="38"/>
      <c r="O18" s="38"/>
      <c r="P18" s="38"/>
      <c r="Q18" s="38"/>
      <c r="R18" s="38"/>
      <c r="S18" s="38"/>
      <c r="T18" s="38"/>
      <c r="U18" s="38"/>
      <c r="V18" s="38"/>
    </row>
    <row r="19" spans="10:22" ht="14.45" x14ac:dyDescent="0.3">
      <c r="N19" s="38"/>
      <c r="O19" s="38"/>
      <c r="P19" s="38"/>
      <c r="Q19" s="38"/>
      <c r="R19" s="38"/>
      <c r="S19" s="38"/>
      <c r="T19" s="38"/>
      <c r="U19" s="38"/>
      <c r="V19" s="38"/>
    </row>
    <row r="20" spans="10:22" ht="14.45" x14ac:dyDescent="0.3">
      <c r="N20" s="38"/>
      <c r="O20" s="38"/>
      <c r="P20" s="38"/>
      <c r="Q20" s="38"/>
      <c r="R20" s="38"/>
      <c r="S20" s="38"/>
      <c r="T20" s="38"/>
      <c r="U20" s="38"/>
      <c r="V20" s="38"/>
    </row>
  </sheetData>
  <mergeCells count="7">
    <mergeCell ref="A7:I7"/>
    <mergeCell ref="A4:K4"/>
    <mergeCell ref="X7:AF7"/>
    <mergeCell ref="N7:V7"/>
    <mergeCell ref="A2:K2"/>
    <mergeCell ref="A3:K3"/>
    <mergeCell ref="A5:K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16"/>
  <sheetViews>
    <sheetView workbookViewId="0">
      <selection activeCell="G12" sqref="G12"/>
    </sheetView>
  </sheetViews>
  <sheetFormatPr defaultColWidth="9.140625" defaultRowHeight="15" x14ac:dyDescent="0.25"/>
  <cols>
    <col min="1" max="13" width="9.140625" style="37"/>
    <col min="14" max="14" width="9.140625" style="37" customWidth="1"/>
    <col min="15" max="16384" width="9.140625" style="37"/>
  </cols>
  <sheetData>
    <row r="1" spans="1:19" ht="21" x14ac:dyDescent="0.35">
      <c r="A1" s="42" t="s">
        <v>29</v>
      </c>
    </row>
    <row r="3" spans="1:19" x14ac:dyDescent="0.25">
      <c r="A3" s="81" t="s">
        <v>8</v>
      </c>
      <c r="B3" s="82"/>
      <c r="C3" s="82"/>
      <c r="D3" s="82"/>
      <c r="E3" s="82"/>
      <c r="F3" s="82"/>
      <c r="G3" s="82"/>
      <c r="H3" s="82"/>
      <c r="I3" s="82"/>
      <c r="J3" s="82"/>
      <c r="K3" s="83"/>
    </row>
    <row r="4" spans="1:19" ht="18.75" customHeight="1" x14ac:dyDescent="0.25">
      <c r="A4" s="78" t="s">
        <v>35</v>
      </c>
      <c r="B4" s="79"/>
      <c r="C4" s="79"/>
      <c r="D4" s="79"/>
      <c r="E4" s="79"/>
      <c r="F4" s="79"/>
      <c r="G4" s="79"/>
      <c r="H4" s="79"/>
      <c r="I4" s="79"/>
      <c r="J4" s="79"/>
      <c r="K4" s="80"/>
    </row>
    <row r="5" spans="1:19" ht="18.75" customHeight="1" x14ac:dyDescent="0.25">
      <c r="A5" s="78" t="s">
        <v>34</v>
      </c>
      <c r="B5" s="79"/>
      <c r="C5" s="79"/>
      <c r="D5" s="79"/>
      <c r="E5" s="79"/>
      <c r="F5" s="79"/>
      <c r="G5" s="79"/>
      <c r="H5" s="79"/>
      <c r="I5" s="79"/>
      <c r="J5" s="79"/>
      <c r="K5" s="80"/>
    </row>
    <row r="7" spans="1:19" x14ac:dyDescent="0.25">
      <c r="A7" s="77" t="s">
        <v>23</v>
      </c>
      <c r="B7" s="77"/>
      <c r="C7" s="77"/>
      <c r="D7" s="77"/>
      <c r="E7" s="77"/>
      <c r="F7" s="77"/>
      <c r="G7" s="77"/>
      <c r="H7" s="77"/>
      <c r="I7" s="77"/>
      <c r="K7" s="77" t="s">
        <v>22</v>
      </c>
      <c r="L7" s="77"/>
      <c r="M7" s="77"/>
      <c r="N7" s="77"/>
      <c r="O7" s="77"/>
      <c r="P7" s="77"/>
      <c r="Q7" s="77"/>
      <c r="R7" s="77"/>
      <c r="S7" s="77"/>
    </row>
    <row r="8" spans="1:19" x14ac:dyDescent="0.25">
      <c r="A8" s="2">
        <v>0</v>
      </c>
      <c r="B8" s="2">
        <v>200</v>
      </c>
      <c r="C8" s="2">
        <v>300</v>
      </c>
      <c r="D8" s="2">
        <v>450</v>
      </c>
      <c r="E8" s="2">
        <v>600</v>
      </c>
      <c r="F8" s="2">
        <v>750</v>
      </c>
      <c r="G8" s="10">
        <v>900</v>
      </c>
      <c r="H8" s="2">
        <v>1200</v>
      </c>
      <c r="I8" s="2">
        <v>1500</v>
      </c>
      <c r="K8" s="2">
        <v>0</v>
      </c>
      <c r="L8" s="2">
        <v>200</v>
      </c>
      <c r="M8" s="2">
        <v>300</v>
      </c>
      <c r="N8" s="2">
        <v>450</v>
      </c>
      <c r="O8" s="2">
        <v>600</v>
      </c>
      <c r="P8" s="9">
        <v>750</v>
      </c>
      <c r="Q8" s="9">
        <v>900</v>
      </c>
      <c r="R8" s="9">
        <v>1200</v>
      </c>
      <c r="S8" s="9">
        <v>1500</v>
      </c>
    </row>
    <row r="9" spans="1:19" x14ac:dyDescent="0.25">
      <c r="A9" s="39">
        <v>0.33039999999999997</v>
      </c>
      <c r="B9" s="39">
        <v>0.23830000000000001</v>
      </c>
      <c r="C9" s="39">
        <v>0.19640000000000002</v>
      </c>
      <c r="D9" s="39">
        <v>0.15919999999999998</v>
      </c>
      <c r="E9" s="39">
        <v>0.13340000000000002</v>
      </c>
      <c r="F9" s="39">
        <v>0.1108</v>
      </c>
      <c r="G9" s="39">
        <v>9.1200000000000003E-2</v>
      </c>
      <c r="H9" s="39">
        <v>5.9700000000000003E-2</v>
      </c>
      <c r="I9" s="39">
        <v>3.6999999999999998E-2</v>
      </c>
      <c r="K9" s="41">
        <f>(Config!$F$10*A9^2+Config!$F$11*A9)</f>
        <v>0.39175115660799997</v>
      </c>
      <c r="L9" s="41">
        <f>(Config!$F$10*B9^2+Config!$F$11*B9)</f>
        <v>0.28345357013200001</v>
      </c>
      <c r="M9" s="41">
        <f>(Config!$F$10*C9^2+Config!$F$11*C9)</f>
        <v>0.23395331404800004</v>
      </c>
      <c r="N9" s="41">
        <f>(Config!$F$10*D9^2+Config!$F$11*D9)</f>
        <v>0.18988436083199997</v>
      </c>
      <c r="O9" s="41">
        <f>(Config!$F$10*E9^2+Config!$F$11*E9)</f>
        <v>0.15925344292800003</v>
      </c>
      <c r="P9" s="41">
        <f>(Config!$F$10*F9^2+Config!$F$11*F9)</f>
        <v>0.13237664243199998</v>
      </c>
      <c r="Q9" s="41">
        <f>(Config!$F$10*G9^2+Config!$F$11*G9)</f>
        <v>0.109033481472</v>
      </c>
      <c r="R9" s="41">
        <f>(Config!$F$10*H9^2+Config!$F$11*H9)</f>
        <v>7.1451369492000011E-2</v>
      </c>
      <c r="S9" s="41">
        <f>(Config!$F$10*I9^2+Config!$F$11*I9)</f>
        <v>4.4317697199999999E-2</v>
      </c>
    </row>
    <row r="10" spans="1:19" x14ac:dyDescent="0.25">
      <c r="A10" s="39">
        <v>1.6341000000000001</v>
      </c>
      <c r="B10" s="39">
        <v>1.2067000000000001</v>
      </c>
      <c r="C10" s="39">
        <v>0.98699999999999999</v>
      </c>
      <c r="D10" s="39">
        <v>0.72450000000000003</v>
      </c>
      <c r="E10" s="39">
        <v>0.55189999999999995</v>
      </c>
      <c r="F10" s="39">
        <v>0.4385</v>
      </c>
      <c r="G10" s="39">
        <v>0.36159999999999998</v>
      </c>
      <c r="H10" s="39">
        <v>0.24429999999999999</v>
      </c>
      <c r="I10" s="39">
        <v>0.15670000000000001</v>
      </c>
      <c r="K10" s="41">
        <f>(Config!$F$10*A10^2+Config!$F$11*A10)</f>
        <v>1.8497604782280002</v>
      </c>
      <c r="L10" s="41">
        <f>(Config!$F$10*B10^2+Config!$F$11*B10)</f>
        <v>1.3872029645320001</v>
      </c>
      <c r="M10" s="41">
        <f>(Config!$F$10*C10^2+Config!$F$11*C10)</f>
        <v>1.1435733371999999</v>
      </c>
      <c r="N10" s="41">
        <f>(Config!$F$10*D10^2+Config!$F$11*D10)</f>
        <v>0.8472669597000001</v>
      </c>
      <c r="O10" s="41">
        <f>(Config!$F$10*E10^2+Config!$F$11*E10)</f>
        <v>0.64934441326799996</v>
      </c>
      <c r="P10" s="41">
        <f>(Config!$F$10*F10^2+Config!$F$11*F10)</f>
        <v>0.51797102129999995</v>
      </c>
      <c r="Q10" s="41">
        <f>(Config!$F$10*G10^2+Config!$F$11*G10)</f>
        <v>0.42827979212799999</v>
      </c>
      <c r="R10" s="41">
        <f>(Config!$F$10*H10^2+Config!$F$11*H10)</f>
        <v>0.29053007141199999</v>
      </c>
      <c r="S10" s="41">
        <f>(Config!$F$10*I10^2+Config!$F$11*I10)</f>
        <v>0.18691864853200002</v>
      </c>
    </row>
    <row r="11" spans="1:19" x14ac:dyDescent="0.25">
      <c r="A11" s="39">
        <v>1.8743000000000001</v>
      </c>
      <c r="B11" s="39">
        <v>1.3580000000000001</v>
      </c>
      <c r="C11" s="39">
        <v>1.0907</v>
      </c>
      <c r="D11" s="39">
        <v>0.78190000000000004</v>
      </c>
      <c r="E11" s="39">
        <v>0.58550000000000002</v>
      </c>
      <c r="F11" s="39">
        <v>0.46210000000000001</v>
      </c>
      <c r="G11" s="39">
        <v>0.38030000000000003</v>
      </c>
      <c r="H11" s="39">
        <v>0.25629999999999997</v>
      </c>
      <c r="I11" s="39">
        <v>0.16400000000000001</v>
      </c>
      <c r="K11" s="41">
        <f>(Config!$F$10*A11^2+Config!$F$11*A11)</f>
        <v>2.1031123698120004</v>
      </c>
      <c r="L11" s="41">
        <f>(Config!$F$10*B11^2+Config!$F$11*B11)</f>
        <v>1.5526698432000003</v>
      </c>
      <c r="M11" s="41">
        <f>(Config!$F$10*C11^2+Config!$F$11*C11)</f>
        <v>1.259063898612</v>
      </c>
      <c r="N11" s="41">
        <f>(Config!$F$10*D11^2+Config!$F$11*D11)</f>
        <v>0.91254432446800005</v>
      </c>
      <c r="O11" s="41">
        <f>(Config!$F$10*E11^2+Config!$F$11*E11)</f>
        <v>0.68806636770000007</v>
      </c>
      <c r="P11" s="41">
        <f>(Config!$F$10*F11^2+Config!$F$11*F11)</f>
        <v>0.54539882990800004</v>
      </c>
      <c r="Q11" s="41">
        <f>(Config!$F$10*G11^2+Config!$F$11*G11)</f>
        <v>0.45013511269200007</v>
      </c>
      <c r="R11" s="41">
        <f>(Config!$F$10*H11^2+Config!$F$11*H11)</f>
        <v>0.30467417477199993</v>
      </c>
      <c r="S11" s="41">
        <f>(Config!$F$10*I11^2+Config!$F$11*I11)</f>
        <v>0.1955770848</v>
      </c>
    </row>
    <row r="12" spans="1:19" x14ac:dyDescent="0.25">
      <c r="A12" s="39">
        <v>1.2406999999999999</v>
      </c>
      <c r="B12" s="39">
        <v>0.93669999999999998</v>
      </c>
      <c r="C12" s="39">
        <v>0.78369999999999995</v>
      </c>
      <c r="D12" s="39">
        <v>0.59509999999999996</v>
      </c>
      <c r="E12" s="39">
        <v>0.46820000000000001</v>
      </c>
      <c r="F12" s="39">
        <v>0.3831</v>
      </c>
      <c r="G12" s="39">
        <v>0.31950000000000001</v>
      </c>
      <c r="H12" s="39">
        <v>0.21840000000000001</v>
      </c>
      <c r="I12" s="39">
        <v>0.14180000000000001</v>
      </c>
      <c r="K12" s="41">
        <f>(Config!$F$10*A12^2+Config!$F$11*A12)</f>
        <v>1.424550846612</v>
      </c>
      <c r="L12" s="41">
        <f>(Config!$F$10*B12^2+Config!$F$11*B12)</f>
        <v>1.087235146132</v>
      </c>
      <c r="M12" s="41">
        <f>(Config!$F$10*C12^2+Config!$F$11*C12)</f>
        <v>0.91458695957199998</v>
      </c>
      <c r="N12" s="41">
        <f>(Config!$F$10*D12^2+Config!$F$11*D12)</f>
        <v>0.69911269678800003</v>
      </c>
      <c r="O12" s="41">
        <f>(Config!$F$10*E12^2+Config!$F$11*E12)</f>
        <v>0.55248075691199994</v>
      </c>
      <c r="P12" s="41">
        <f>(Config!$F$10*F12^2+Config!$F$11*F12)</f>
        <v>0.45340508686800002</v>
      </c>
      <c r="Q12" s="41">
        <f>(Config!$F$10*G12^2+Config!$F$11*G12)</f>
        <v>0.3789706437</v>
      </c>
      <c r="R12" s="41">
        <f>(Config!$F$10*H12^2+Config!$F$11*H12)</f>
        <v>0.25996193932799999</v>
      </c>
      <c r="S12" s="41">
        <f>(Config!$F$10*I12^2+Config!$F$11*I12)</f>
        <v>0.16923232171200001</v>
      </c>
    </row>
    <row r="13" spans="1:19" x14ac:dyDescent="0.25">
      <c r="A13" s="39">
        <v>1.1679999999999999</v>
      </c>
      <c r="B13" s="39">
        <v>0.87460000000000004</v>
      </c>
      <c r="C13" s="39">
        <v>0.73329999999999995</v>
      </c>
      <c r="D13" s="39">
        <v>0.55969999999999998</v>
      </c>
      <c r="E13" s="39">
        <v>0.44009999999999999</v>
      </c>
      <c r="F13" s="39">
        <v>0.3594</v>
      </c>
      <c r="G13" s="39">
        <v>0.29959999999999998</v>
      </c>
      <c r="H13" s="39">
        <v>0.2046</v>
      </c>
      <c r="I13" s="39">
        <v>0.13270000000000001</v>
      </c>
      <c r="K13" s="41">
        <f>(Config!$F$10*A13^2+Config!$F$11*A13)</f>
        <v>1.3445763712000001</v>
      </c>
      <c r="L13" s="41">
        <f>(Config!$F$10*B13^2+Config!$F$11*B13)</f>
        <v>1.0173928634080003</v>
      </c>
      <c r="M13" s="41">
        <f>(Config!$F$10*C13^2+Config!$F$11*C13)</f>
        <v>0.85729225973199996</v>
      </c>
      <c r="N13" s="41">
        <f>(Config!$F$10*D13^2+Config!$F$11*D13)</f>
        <v>0.65834172949199998</v>
      </c>
      <c r="O13" s="41">
        <f>(Config!$F$10*E13^2+Config!$F$11*E13)</f>
        <v>0.51983198398800001</v>
      </c>
      <c r="P13" s="41">
        <f>(Config!$F$10*F13^2+Config!$F$11*F13)</f>
        <v>0.42570668356800001</v>
      </c>
      <c r="Q13" s="41">
        <f>(Config!$F$10*G13^2+Config!$F$11*G13)</f>
        <v>0.355612161408</v>
      </c>
      <c r="R13" s="41">
        <f>(Config!$F$10*H13^2+Config!$F$11*H13)</f>
        <v>0.24365210020800002</v>
      </c>
      <c r="S13" s="41">
        <f>(Config!$F$10*I13^2+Config!$F$11*I13)</f>
        <v>0.158421607252</v>
      </c>
    </row>
    <row r="14" spans="1:19" x14ac:dyDescent="0.25">
      <c r="A14" s="39">
        <v>1.2069000000000001</v>
      </c>
      <c r="B14" s="39">
        <v>0.90869999999999995</v>
      </c>
      <c r="C14" s="39">
        <v>0.76149999999999995</v>
      </c>
      <c r="D14" s="39">
        <v>0.58079999999999998</v>
      </c>
      <c r="E14" s="39">
        <v>0.46279999999999999</v>
      </c>
      <c r="F14" s="39">
        <v>0.38440000000000002</v>
      </c>
      <c r="G14" s="39">
        <v>0.32290000000000002</v>
      </c>
      <c r="H14" s="39">
        <v>0.22270000000000001</v>
      </c>
      <c r="I14" s="39">
        <v>0.1459</v>
      </c>
      <c r="K14" s="41">
        <f>(Config!$F$10*A14^2+Config!$F$11*A14)</f>
        <v>1.3874229364680002</v>
      </c>
      <c r="L14" s="41">
        <f>(Config!$F$10*B14^2+Config!$F$11*B14)</f>
        <v>1.055783599572</v>
      </c>
      <c r="M14" s="41">
        <f>(Config!$F$10*C14^2+Config!$F$11*C14)</f>
        <v>0.88937580130000005</v>
      </c>
      <c r="N14" s="41">
        <f>(Config!$F$10*D14^2+Config!$F$11*D14)</f>
        <v>0.68265550003199993</v>
      </c>
      <c r="O14" s="41">
        <f>(Config!$F$10*E14^2+Config!$F$11*E14)</f>
        <v>0.54621166579199998</v>
      </c>
      <c r="P14" s="41">
        <f>(Config!$F$10*F14^2+Config!$F$11*F14)</f>
        <v>0.45492306956800005</v>
      </c>
      <c r="Q14" s="41">
        <f>(Config!$F$10*G14^2+Config!$F$11*G14)</f>
        <v>0.38295827630800006</v>
      </c>
      <c r="R14" s="41">
        <f>(Config!$F$10*H14^2+Config!$F$11*H14)</f>
        <v>0.26504078405200004</v>
      </c>
      <c r="S14" s="41">
        <f>(Config!$F$10*I14^2+Config!$F$11*I14)</f>
        <v>0.174100853428</v>
      </c>
    </row>
    <row r="15" spans="1:19" x14ac:dyDescent="0.25">
      <c r="A15" s="39">
        <v>1.2558</v>
      </c>
      <c r="B15" s="39">
        <v>0.92290000000000005</v>
      </c>
      <c r="C15" s="39">
        <v>0.75519999999999998</v>
      </c>
      <c r="D15" s="39">
        <v>0.55900000000000005</v>
      </c>
      <c r="E15" s="39">
        <v>0.4395</v>
      </c>
      <c r="F15" s="39">
        <v>0.36309999999999998</v>
      </c>
      <c r="G15" s="39">
        <v>0.3044</v>
      </c>
      <c r="H15" s="39">
        <v>0.20930000000000001</v>
      </c>
      <c r="I15" s="39">
        <v>0.13669999999999999</v>
      </c>
      <c r="K15" s="41">
        <f>(Config!$F$10*A15^2+Config!$F$11*A15)</f>
        <v>1.4411071540320002</v>
      </c>
      <c r="L15" s="41">
        <f>(Config!$F$10*B15^2+Config!$F$11*B15)</f>
        <v>1.0717421003080001</v>
      </c>
      <c r="M15" s="41">
        <f>(Config!$F$10*C15^2+Config!$F$11*C15)</f>
        <v>0.88221388595200001</v>
      </c>
      <c r="N15" s="41">
        <f>(Config!$F$10*D15^2+Config!$F$11*D15)</f>
        <v>0.65753448280000004</v>
      </c>
      <c r="O15" s="41">
        <f>(Config!$F$10*E15^2+Config!$F$11*E15)</f>
        <v>0.51913414769999999</v>
      </c>
      <c r="P15" s="41">
        <f>(Config!$F$10*F15^2+Config!$F$11*F15)</f>
        <v>0.43003395566800001</v>
      </c>
      <c r="Q15" s="41">
        <f>(Config!$F$10*G15^2+Config!$F$11*G15)</f>
        <v>0.36124935436800004</v>
      </c>
      <c r="R15" s="41">
        <f>(Config!$F$10*H15^2+Config!$F$11*H15)</f>
        <v>0.249208662612</v>
      </c>
      <c r="S15" s="41">
        <f>(Config!$F$10*I15^2+Config!$F$11*I15)</f>
        <v>0.16317441013199999</v>
      </c>
    </row>
    <row r="16" spans="1:19" x14ac:dyDescent="0.25">
      <c r="A16" s="39">
        <v>1.4362999999999999</v>
      </c>
      <c r="B16" s="39">
        <v>1.0082</v>
      </c>
      <c r="C16" s="39">
        <v>0.79730000000000001</v>
      </c>
      <c r="D16" s="39">
        <v>0.56530000000000002</v>
      </c>
      <c r="E16" s="39">
        <v>0.42509999999999998</v>
      </c>
      <c r="F16" s="39">
        <v>0.33789999999999998</v>
      </c>
      <c r="G16" s="39">
        <v>0.2787</v>
      </c>
      <c r="H16" s="39">
        <v>0.188</v>
      </c>
      <c r="I16" s="39">
        <v>0.1203</v>
      </c>
      <c r="K16" s="41">
        <f>(Config!$F$10*A16^2+Config!$F$11*A16)</f>
        <v>1.6375607331719999</v>
      </c>
      <c r="L16" s="41">
        <f>(Config!$F$10*B16^2+Config!$F$11*B16)</f>
        <v>1.1672558097119998</v>
      </c>
      <c r="M16" s="41">
        <f>(Config!$F$10*C16^2+Config!$F$11*C16)</f>
        <v>0.93001157365200005</v>
      </c>
      <c r="N16" s="41">
        <f>(Config!$F$10*D16^2+Config!$F$11*D16)</f>
        <v>0.66479824949200006</v>
      </c>
      <c r="O16" s="41">
        <f>(Config!$F$10*E16^2+Config!$F$11*E16)</f>
        <v>0.50237717758799993</v>
      </c>
      <c r="P16" s="41">
        <f>(Config!$F$10*F16^2+Config!$F$11*F16)</f>
        <v>0.40053940190799997</v>
      </c>
      <c r="Q16" s="41">
        <f>(Config!$F$10*G16^2+Config!$F$11*G16)</f>
        <v>0.33104475397200001</v>
      </c>
      <c r="R16" s="41">
        <f>(Config!$F$10*H16^2+Config!$F$11*H16)</f>
        <v>0.22401222720000002</v>
      </c>
      <c r="S16" s="41">
        <f>(Config!$F$10*I16^2+Config!$F$11*I16)</f>
        <v>0.14367953989200002</v>
      </c>
    </row>
  </sheetData>
  <mergeCells count="5">
    <mergeCell ref="A7:I7"/>
    <mergeCell ref="K7:S7"/>
    <mergeCell ref="A3:K3"/>
    <mergeCell ref="A4:K4"/>
    <mergeCell ref="A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34998626667073579"/>
  </sheetPr>
  <dimension ref="A1:M16"/>
  <sheetViews>
    <sheetView workbookViewId="0">
      <selection activeCell="I32" sqref="I32"/>
    </sheetView>
  </sheetViews>
  <sheetFormatPr defaultColWidth="9.140625" defaultRowHeight="15" x14ac:dyDescent="0.25"/>
  <cols>
    <col min="1" max="16384" width="9.140625" style="37"/>
  </cols>
  <sheetData>
    <row r="1" spans="1:13" ht="21" x14ac:dyDescent="0.35">
      <c r="A1" s="42" t="s">
        <v>16</v>
      </c>
    </row>
    <row r="3" spans="1:13" x14ac:dyDescent="0.25">
      <c r="A3" s="81" t="s">
        <v>8</v>
      </c>
      <c r="B3" s="82"/>
      <c r="C3" s="82"/>
      <c r="D3" s="82"/>
      <c r="E3" s="82"/>
      <c r="F3" s="82"/>
      <c r="G3" s="82"/>
      <c r="H3" s="82"/>
      <c r="I3" s="82"/>
      <c r="J3" s="82"/>
      <c r="K3" s="83"/>
    </row>
    <row r="4" spans="1:13" ht="18.75" customHeight="1" x14ac:dyDescent="0.25">
      <c r="A4" s="78" t="s">
        <v>38</v>
      </c>
      <c r="B4" s="79"/>
      <c r="C4" s="79"/>
      <c r="D4" s="79"/>
      <c r="E4" s="79"/>
      <c r="F4" s="79"/>
      <c r="G4" s="79"/>
      <c r="H4" s="79"/>
      <c r="I4" s="79"/>
      <c r="J4" s="79"/>
      <c r="K4" s="80"/>
    </row>
    <row r="5" spans="1:13" ht="18.75" customHeight="1" x14ac:dyDescent="0.25">
      <c r="A5" s="78" t="s">
        <v>39</v>
      </c>
      <c r="B5" s="79"/>
      <c r="C5" s="79"/>
      <c r="D5" s="79"/>
      <c r="E5" s="79"/>
      <c r="F5" s="79"/>
      <c r="G5" s="79"/>
      <c r="H5" s="79"/>
      <c r="I5" s="79"/>
      <c r="J5" s="79"/>
      <c r="K5" s="80"/>
    </row>
    <row r="7" spans="1:13" x14ac:dyDescent="0.25">
      <c r="A7" s="77" t="s">
        <v>23</v>
      </c>
      <c r="B7" s="77"/>
      <c r="C7" s="77"/>
      <c r="D7" s="77"/>
      <c r="E7" s="77"/>
      <c r="F7" s="77"/>
      <c r="G7" s="44"/>
      <c r="H7" s="77" t="s">
        <v>22</v>
      </c>
      <c r="I7" s="77"/>
      <c r="J7" s="77"/>
      <c r="K7" s="77"/>
      <c r="L7" s="77"/>
      <c r="M7" s="77"/>
    </row>
    <row r="8" spans="1:13" x14ac:dyDescent="0.25">
      <c r="A8" s="2">
        <v>0</v>
      </c>
      <c r="B8" s="2">
        <v>200</v>
      </c>
      <c r="C8" s="2">
        <v>300</v>
      </c>
      <c r="D8" s="2">
        <v>450</v>
      </c>
      <c r="E8" s="2">
        <v>600</v>
      </c>
      <c r="F8" s="2">
        <v>900</v>
      </c>
      <c r="G8" s="12"/>
      <c r="H8" s="2">
        <v>0</v>
      </c>
      <c r="I8" s="2">
        <v>200</v>
      </c>
      <c r="J8" s="2">
        <v>300</v>
      </c>
      <c r="K8" s="2">
        <v>450</v>
      </c>
      <c r="L8" s="2">
        <v>600</v>
      </c>
      <c r="M8" s="9">
        <v>900</v>
      </c>
    </row>
    <row r="9" spans="1:13" x14ac:dyDescent="0.25">
      <c r="A9" s="39">
        <v>0.33039999999999997</v>
      </c>
      <c r="B9" s="56">
        <v>0.23830000000000001</v>
      </c>
      <c r="C9" s="56">
        <v>0.19640000000000002</v>
      </c>
      <c r="D9" s="56">
        <v>0.15919999999999998</v>
      </c>
      <c r="E9" s="56">
        <v>0.13340000000000002</v>
      </c>
      <c r="F9" s="56">
        <v>9.1200000000000003E-2</v>
      </c>
      <c r="G9" s="43"/>
      <c r="H9" s="41">
        <f t="shared" ref="H9:H16" si="0">((40.129+A9*1000)/0.9845)/1000</f>
        <v>0.37636262061960385</v>
      </c>
      <c r="I9" s="41">
        <f>$H9*EXP(-200/Config!$D$16)</f>
        <v>0.26815630666831169</v>
      </c>
      <c r="J9" s="41">
        <f>$H9*EXP(-300/Config!$E$16)</f>
        <v>0.19605185334758071</v>
      </c>
      <c r="K9" s="41">
        <f>$H9*EXP(-450/Config!$F$16)</f>
        <v>0.13659762789744126</v>
      </c>
      <c r="L9" s="41">
        <f>$H9*EXP(-600/Config!$G$16)</f>
        <v>0.10299256147030245</v>
      </c>
      <c r="M9" s="41">
        <f>$H9*EXP(-900/Config!$I$16)</f>
        <v>6.8222417216731113E-2</v>
      </c>
    </row>
    <row r="10" spans="1:13" x14ac:dyDescent="0.25">
      <c r="A10" s="39">
        <v>1.6341000000000001</v>
      </c>
      <c r="B10" s="56">
        <v>1.2067000000000001</v>
      </c>
      <c r="C10" s="56">
        <v>0.98699999999999999</v>
      </c>
      <c r="D10" s="56">
        <v>0.72450000000000003</v>
      </c>
      <c r="E10" s="56">
        <v>0.55189999999999995</v>
      </c>
      <c r="F10" s="56">
        <v>0.36159999999999998</v>
      </c>
      <c r="G10" s="43"/>
      <c r="H10" s="41">
        <f t="shared" si="0"/>
        <v>1.7005881157948197</v>
      </c>
      <c r="I10" s="41">
        <f>$H10*EXP(-200/Config!$D$16)</f>
        <v>1.2116597220648879</v>
      </c>
      <c r="J10" s="41">
        <f>$H10*EXP(-300/Config!$E$16)</f>
        <v>0.88585697307975009</v>
      </c>
      <c r="K10" s="41">
        <f>$H10*EXP(-450/Config!$F$16)</f>
        <v>0.6172140641005297</v>
      </c>
      <c r="L10" s="41">
        <f>$H10*EXP(-600/Config!$G$16)</f>
        <v>0.46537014160258172</v>
      </c>
      <c r="M10" s="41">
        <f>$H10*EXP(-900/Config!$I$16)</f>
        <v>0.30826183471293883</v>
      </c>
    </row>
    <row r="11" spans="1:13" x14ac:dyDescent="0.25">
      <c r="A11" s="39">
        <v>1.8743000000000001</v>
      </c>
      <c r="B11" s="56">
        <v>1.3580000000000001</v>
      </c>
      <c r="C11" s="56">
        <v>1.0907</v>
      </c>
      <c r="D11" s="56">
        <v>0.78190000000000004</v>
      </c>
      <c r="E11" s="56">
        <v>0.58550000000000002</v>
      </c>
      <c r="F11" s="56">
        <v>0.38030000000000003</v>
      </c>
      <c r="G11" s="43"/>
      <c r="H11" s="41">
        <f t="shared" si="0"/>
        <v>1.9445698324022347</v>
      </c>
      <c r="I11" s="41">
        <f>$H11*EXP(-200/Config!$D$16)</f>
        <v>1.3854953593880892</v>
      </c>
      <c r="J11" s="41">
        <f>$H11*EXP(-300/Config!$E$16)</f>
        <v>1.0129500081028897</v>
      </c>
      <c r="K11" s="41">
        <f>$H11*EXP(-450/Config!$F$16)</f>
        <v>0.70576516326136574</v>
      </c>
      <c r="L11" s="41">
        <f>$H11*EXP(-600/Config!$G$16)</f>
        <v>0.53213634145513478</v>
      </c>
      <c r="M11" s="41">
        <f>$H11*EXP(-900/Config!$I$16)</f>
        <v>0.35248785916840336</v>
      </c>
    </row>
    <row r="12" spans="1:13" x14ac:dyDescent="0.25">
      <c r="A12" s="39">
        <v>1.2406999999999999</v>
      </c>
      <c r="B12" s="56">
        <v>0.93669999999999998</v>
      </c>
      <c r="C12" s="56">
        <v>0.78369999999999995</v>
      </c>
      <c r="D12" s="56">
        <v>0.59509999999999996</v>
      </c>
      <c r="E12" s="56">
        <v>0.46820000000000001</v>
      </c>
      <c r="F12" s="56">
        <v>0.31950000000000001</v>
      </c>
      <c r="G12" s="43"/>
      <c r="H12" s="41">
        <f t="shared" si="0"/>
        <v>1.3009944134078208</v>
      </c>
      <c r="I12" s="41">
        <f>$H12*EXP(-200/Config!$D$16)</f>
        <v>0.92695139682364114</v>
      </c>
      <c r="J12" s="41">
        <f>$H12*EXP(-300/Config!$E$16)</f>
        <v>0.67770376750896255</v>
      </c>
      <c r="K12" s="41">
        <f>$H12*EXP(-450/Config!$F$16)</f>
        <v>0.47218491168640436</v>
      </c>
      <c r="L12" s="41">
        <f>$H12*EXP(-600/Config!$G$16)</f>
        <v>0.35602033718128939</v>
      </c>
      <c r="M12" s="41">
        <f>$H12*EXP(-900/Config!$I$16)</f>
        <v>0.23582837084624542</v>
      </c>
    </row>
    <row r="13" spans="1:13" x14ac:dyDescent="0.25">
      <c r="A13" s="39">
        <v>1.1679999999999999</v>
      </c>
      <c r="B13" s="56">
        <v>0.87460000000000004</v>
      </c>
      <c r="C13" s="56">
        <v>0.73329999999999995</v>
      </c>
      <c r="D13" s="56">
        <v>0.55969999999999998</v>
      </c>
      <c r="E13" s="56">
        <v>0.44009999999999999</v>
      </c>
      <c r="F13" s="56">
        <v>0.29959999999999998</v>
      </c>
      <c r="G13" s="43"/>
      <c r="H13" s="41">
        <f t="shared" si="0"/>
        <v>1.2271498222447943</v>
      </c>
      <c r="I13" s="41">
        <f>$H13*EXP(-200/Config!$D$16)</f>
        <v>0.87433752990691882</v>
      </c>
      <c r="J13" s="41">
        <f>$H13*EXP(-300/Config!$E$16)</f>
        <v>0.63923722443576436</v>
      </c>
      <c r="K13" s="41">
        <f>$H13*EXP(-450/Config!$F$16)</f>
        <v>0.44538364229009819</v>
      </c>
      <c r="L13" s="41">
        <f>$H13*EXP(-600/Config!$G$16)</f>
        <v>0.33581258227171162</v>
      </c>
      <c r="M13" s="41">
        <f>$H13*EXP(-900/Config!$I$16)</f>
        <v>0.22244272564261405</v>
      </c>
    </row>
    <row r="14" spans="1:13" x14ac:dyDescent="0.25">
      <c r="A14" s="39">
        <v>1.2069000000000001</v>
      </c>
      <c r="B14" s="56">
        <v>0.90869999999999995</v>
      </c>
      <c r="C14" s="56">
        <v>0.76149999999999995</v>
      </c>
      <c r="D14" s="56">
        <v>0.58079999999999998</v>
      </c>
      <c r="E14" s="56">
        <v>0.46279999999999999</v>
      </c>
      <c r="F14" s="56">
        <v>0.32290000000000002</v>
      </c>
      <c r="G14" s="43"/>
      <c r="H14" s="41">
        <f t="shared" si="0"/>
        <v>1.2666622651091926</v>
      </c>
      <c r="I14" s="41">
        <f>$H14*EXP(-200/Config!$D$16)</f>
        <v>0.90248992912370718</v>
      </c>
      <c r="J14" s="41">
        <f>$H14*EXP(-300/Config!$E$16)</f>
        <v>0.65981973510354186</v>
      </c>
      <c r="K14" s="41">
        <f>$H14*EXP(-450/Config!$F$16)</f>
        <v>0.45972434902347259</v>
      </c>
      <c r="L14" s="41">
        <f>$H14*EXP(-600/Config!$G$16)</f>
        <v>0.34662525993309512</v>
      </c>
      <c r="M14" s="41">
        <f>$H14*EXP(-900/Config!$I$16)</f>
        <v>0.22960505849572635</v>
      </c>
    </row>
    <row r="15" spans="1:13" x14ac:dyDescent="0.25">
      <c r="A15" s="39">
        <v>1.2558</v>
      </c>
      <c r="B15" s="56">
        <v>0.92290000000000005</v>
      </c>
      <c r="C15" s="56">
        <v>0.75519999999999998</v>
      </c>
      <c r="D15" s="56">
        <v>0.55900000000000005</v>
      </c>
      <c r="E15" s="56">
        <v>0.4395</v>
      </c>
      <c r="F15" s="56">
        <v>0.3044</v>
      </c>
      <c r="G15" s="43"/>
      <c r="H15" s="41">
        <f t="shared" si="0"/>
        <v>1.3163321482986285</v>
      </c>
      <c r="I15" s="41">
        <f>$H15*EXP(-200/Config!$D$16)</f>
        <v>0.93787944896177755</v>
      </c>
      <c r="J15" s="41">
        <f>$H15*EXP(-300/Config!$E$16)</f>
        <v>0.68569337961907673</v>
      </c>
      <c r="K15" s="41">
        <f>$H15*EXP(-450/Config!$F$16)</f>
        <v>0.47775161275771427</v>
      </c>
      <c r="L15" s="41">
        <f>$H15*EXP(-600/Config!$G$16)</f>
        <v>0.36021754624779051</v>
      </c>
      <c r="M15" s="41">
        <f>$H15*EXP(-900/Config!$I$16)</f>
        <v>0.23860860802058981</v>
      </c>
    </row>
    <row r="16" spans="1:13" x14ac:dyDescent="0.25">
      <c r="A16" s="39">
        <v>1.4362999999999999</v>
      </c>
      <c r="B16" s="56">
        <v>1.0082</v>
      </c>
      <c r="C16" s="56">
        <v>0.79730000000000001</v>
      </c>
      <c r="D16" s="56">
        <v>0.56530000000000002</v>
      </c>
      <c r="E16" s="56">
        <v>0.42509999999999998</v>
      </c>
      <c r="F16" s="56">
        <v>0.2787</v>
      </c>
      <c r="G16" s="43"/>
      <c r="H16" s="41">
        <f t="shared" si="0"/>
        <v>1.4996739461655662</v>
      </c>
      <c r="I16" s="41">
        <f>$H16*EXP(-200/Config!$D$16)</f>
        <v>1.0685094761759235</v>
      </c>
      <c r="J16" s="41">
        <f>$H16*EXP(-300/Config!$E$16)</f>
        <v>0.78119834557110301</v>
      </c>
      <c r="K16" s="41">
        <f>$H16*EXP(-450/Config!$F$16)</f>
        <v>0.54429396662337171</v>
      </c>
      <c r="L16" s="41">
        <f>$H16*EXP(-600/Config!$G$16)</f>
        <v>0.41038948244007123</v>
      </c>
      <c r="M16" s="41">
        <f>$H16*EXP(-900/Config!$I$16)</f>
        <v>0.27184256894569953</v>
      </c>
    </row>
  </sheetData>
  <mergeCells count="5">
    <mergeCell ref="A7:F7"/>
    <mergeCell ref="H7:M7"/>
    <mergeCell ref="A3:K3"/>
    <mergeCell ref="A4:K4"/>
    <mergeCell ref="A5:K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K16"/>
  <sheetViews>
    <sheetView workbookViewId="0">
      <selection activeCell="D6" sqref="D6"/>
    </sheetView>
  </sheetViews>
  <sheetFormatPr defaultRowHeight="15" x14ac:dyDescent="0.25"/>
  <sheetData>
    <row r="1" spans="1:11" ht="19.5" x14ac:dyDescent="0.3">
      <c r="A1" s="8" t="s">
        <v>30</v>
      </c>
    </row>
    <row r="3" spans="1:11" x14ac:dyDescent="0.25">
      <c r="B3" s="21" t="s">
        <v>27</v>
      </c>
      <c r="C3" s="28">
        <v>2.2499999999999999E-2</v>
      </c>
      <c r="D3" s="34"/>
      <c r="E3" s="29">
        <v>-0.06</v>
      </c>
      <c r="F3" s="34"/>
      <c r="G3" s="29">
        <v>-0.11</v>
      </c>
      <c r="H3" s="34"/>
      <c r="I3" s="29">
        <v>1.119</v>
      </c>
      <c r="J3" s="34"/>
      <c r="K3" s="30">
        <v>-0.92500000000000004</v>
      </c>
    </row>
    <row r="4" spans="1:11" x14ac:dyDescent="0.25">
      <c r="B4" s="21" t="s">
        <v>28</v>
      </c>
      <c r="C4" s="31">
        <v>0.77800000000000002</v>
      </c>
      <c r="D4" s="35"/>
      <c r="E4" s="32">
        <v>1.071</v>
      </c>
      <c r="F4" s="35"/>
      <c r="G4" s="32">
        <v>1.2669999999999999</v>
      </c>
      <c r="H4" s="35"/>
      <c r="I4" s="32">
        <v>0</v>
      </c>
      <c r="J4" s="35"/>
      <c r="K4" s="33">
        <v>1.2390000000000001</v>
      </c>
    </row>
    <row r="5" spans="1:11" x14ac:dyDescent="0.25">
      <c r="A5" s="84" t="s">
        <v>17</v>
      </c>
      <c r="B5" s="84"/>
      <c r="C5" s="14" t="s">
        <v>18</v>
      </c>
      <c r="D5" s="15" t="s">
        <v>0</v>
      </c>
      <c r="E5" s="15" t="s">
        <v>1</v>
      </c>
      <c r="F5" s="15" t="s">
        <v>2</v>
      </c>
      <c r="G5" s="15" t="s">
        <v>3</v>
      </c>
      <c r="H5" s="15" t="s">
        <v>19</v>
      </c>
      <c r="I5" s="15" t="s">
        <v>4</v>
      </c>
      <c r="J5" s="15" t="s">
        <v>20</v>
      </c>
      <c r="K5" s="16" t="s">
        <v>21</v>
      </c>
    </row>
    <row r="6" spans="1:11" x14ac:dyDescent="0.25">
      <c r="A6" s="84"/>
      <c r="B6" s="84"/>
      <c r="C6" s="45">
        <f>2 * (1 - 0.35 ^ 2) * 0.566 * 150</f>
        <v>148.99949999999998</v>
      </c>
      <c r="D6" s="45">
        <f xml:space="preserve"> (1 - 0.35 ^ 2) * 0.566 * 150 ^ 2 / 'NSIO Method'!Y8</f>
        <v>55.874812499999997</v>
      </c>
      <c r="E6" s="45">
        <f xml:space="preserve"> (1 - 0.35 ^ 2) * 0.566 * 150 ^ 2 / 'NSIO Method'!Z8</f>
        <v>37.249874999999996</v>
      </c>
      <c r="F6" s="45">
        <f xml:space="preserve"> (1 - 0.35 ^ 2) * 0.566 * 150 ^ 2 / 'NSIO Method'!AA8</f>
        <v>24.83325</v>
      </c>
      <c r="G6" s="45">
        <f xml:space="preserve"> (1 - 0.35 ^ 2) * 0.566 * 150 ^ 2 / 'NSIO Method'!AB8</f>
        <v>18.624937499999998</v>
      </c>
      <c r="H6" s="45">
        <f xml:space="preserve"> (1 - 0.35 ^ 2) * 0.566 * 150 ^ 2 / 'NSIO Method'!AC8</f>
        <v>14.899949999999999</v>
      </c>
      <c r="I6" s="45">
        <f xml:space="preserve"> (1 - 0.35 ^ 2) * 0.566 * 150 ^ 2 / 'NSIO Method'!AD8</f>
        <v>12.416625</v>
      </c>
      <c r="J6" s="45">
        <f xml:space="preserve"> (1 - 0.35 ^ 2) * 0.566 * 150 ^ 2 / 'NSIO Method'!AE8</f>
        <v>9.312468749999999</v>
      </c>
      <c r="K6" s="45">
        <f xml:space="preserve"> (1 - 0.35 ^ 2) * 0.566 * 150 ^ 2 / 'NSIO Method'!AF8</f>
        <v>7.4499749999999993</v>
      </c>
    </row>
    <row r="8" spans="1:11" ht="19.5" x14ac:dyDescent="0.3">
      <c r="A8" s="8" t="s">
        <v>29</v>
      </c>
    </row>
    <row r="10" spans="1:11" x14ac:dyDescent="0.25">
      <c r="A10" s="22" t="s">
        <v>32</v>
      </c>
      <c r="B10" s="23"/>
      <c r="C10" s="23"/>
      <c r="D10" s="24"/>
      <c r="E10" s="18" t="s">
        <v>24</v>
      </c>
      <c r="F10" s="19">
        <v>-4.1200000000000001E-2</v>
      </c>
      <c r="H10" s="36" t="s">
        <v>33</v>
      </c>
    </row>
    <row r="11" spans="1:11" x14ac:dyDescent="0.25">
      <c r="A11" s="25" t="s">
        <v>31</v>
      </c>
      <c r="B11" s="26"/>
      <c r="C11" s="26"/>
      <c r="D11" s="27"/>
      <c r="E11" s="18" t="s">
        <v>25</v>
      </c>
      <c r="F11" s="19">
        <v>1.1993</v>
      </c>
    </row>
    <row r="13" spans="1:11" ht="19.5" x14ac:dyDescent="0.3">
      <c r="A13" s="8" t="s">
        <v>16</v>
      </c>
    </row>
    <row r="15" spans="1:11" ht="15" customHeight="1" x14ac:dyDescent="0.25">
      <c r="A15" s="84" t="s">
        <v>17</v>
      </c>
      <c r="B15" s="84"/>
      <c r="C15" s="14"/>
      <c r="D15" s="15" t="s">
        <v>0</v>
      </c>
      <c r="E15" s="15" t="s">
        <v>1</v>
      </c>
      <c r="F15" s="15" t="s">
        <v>2</v>
      </c>
      <c r="G15" s="15" t="s">
        <v>3</v>
      </c>
      <c r="H15" s="15"/>
      <c r="I15" s="15" t="s">
        <v>4</v>
      </c>
      <c r="J15" s="15"/>
      <c r="K15" s="16"/>
    </row>
    <row r="16" spans="1:11" ht="15" customHeight="1" x14ac:dyDescent="0.25">
      <c r="A16" s="84"/>
      <c r="B16" s="84"/>
      <c r="C16" s="46"/>
      <c r="D16" s="47">
        <v>590</v>
      </c>
      <c r="E16" s="47">
        <v>460</v>
      </c>
      <c r="F16" s="47">
        <v>444</v>
      </c>
      <c r="G16" s="47">
        <v>463</v>
      </c>
      <c r="H16" s="47"/>
      <c r="I16" s="47">
        <v>527</v>
      </c>
      <c r="J16" s="47"/>
      <c r="K16" s="48"/>
    </row>
  </sheetData>
  <mergeCells count="2">
    <mergeCell ref="A5:B6"/>
    <mergeCell ref="A15:B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INDV Offset Method - linear k</vt:lpstr>
      <vt:lpstr>Implemenation Guide</vt:lpstr>
      <vt:lpstr>NSIO Method</vt:lpstr>
      <vt:lpstr>RS Specific Method</vt:lpstr>
      <vt:lpstr>QMR Method</vt:lpstr>
      <vt:lpstr>Config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D. Plunket</dc:creator>
  <cp:lastModifiedBy>Monica Coulson</cp:lastModifiedBy>
  <dcterms:created xsi:type="dcterms:W3CDTF">2016-08-24T22:55:41Z</dcterms:created>
  <dcterms:modified xsi:type="dcterms:W3CDTF">2017-08-10T02:25:41Z</dcterms:modified>
</cp:coreProperties>
</file>