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18195" windowHeight="11535"/>
  </bookViews>
  <sheets>
    <sheet name="Sig Crossroad (detail)" sheetId="1" r:id="rId1"/>
  </sheets>
  <externalReferences>
    <externalReference r:id="rId2"/>
  </externalReferences>
  <definedNames>
    <definedName name="c_1">'[1]Cycle Count'!$J$20</definedName>
    <definedName name="c_10">'[1]Cycle Count'!$J$29</definedName>
    <definedName name="c_11">'[1]Cycle Count'!$J$30</definedName>
    <definedName name="c_12">'[1]Cycle Count'!$J$31</definedName>
    <definedName name="c_2">'[1]Cycle Count'!$J$21</definedName>
    <definedName name="c_3">'[1]Cycle Count'!$J$22</definedName>
    <definedName name="c_4">'[1]Cycle Count'!$J$23</definedName>
    <definedName name="c_5">'[1]Cycle Count'!$J$24</definedName>
    <definedName name="c_6">'[1]Cycle Count'!$J$25</definedName>
    <definedName name="c_7">'[1]Cycle Count'!$J$26</definedName>
    <definedName name="c_8">'[1]Cycle Count'!$J$27</definedName>
    <definedName name="c_9">'[1]Cycle Count'!$J$28</definedName>
    <definedName name="p_1">'[1]Ped Count'!$J$20</definedName>
    <definedName name="p_3">'[1]Ped Count'!$J$22</definedName>
    <definedName name="_xlnm.Print_Area" localSheetId="0">'Sig Crossroad (detail)'!$A$1:$AF$91</definedName>
    <definedName name="_xlnm.Print_Titles" localSheetId="0">'Sig Crossroad (detail)'!$1:$5</definedName>
  </definedNames>
  <calcPr calcId="145621"/>
</workbook>
</file>

<file path=xl/calcChain.xml><?xml version="1.0" encoding="utf-8"?>
<calcChain xmlns="http://schemas.openxmlformats.org/spreadsheetml/2006/main">
  <c r="J46" i="1" l="1"/>
  <c r="I46" i="1"/>
  <c r="H46" i="1"/>
  <c r="G46" i="1"/>
  <c r="AY4" i="1" l="1"/>
  <c r="AM53" i="1" l="1"/>
  <c r="AM52" i="1"/>
  <c r="AM51" i="1"/>
  <c r="DB35" i="1"/>
  <c r="J82" i="1" s="1"/>
  <c r="DA35" i="1"/>
  <c r="CM35" i="1"/>
  <c r="I82" i="1" s="1"/>
  <c r="CL35" i="1"/>
  <c r="I81" i="1" s="1"/>
  <c r="BX35" i="1"/>
  <c r="H82" i="1" s="1"/>
  <c r="BW35" i="1"/>
  <c r="BI35" i="1"/>
  <c r="G82" i="1" s="1"/>
  <c r="BH35" i="1"/>
  <c r="G81" i="1" s="1"/>
  <c r="CX33" i="1"/>
  <c r="CW33" i="1"/>
  <c r="CI33" i="1"/>
  <c r="CH33" i="1"/>
  <c r="BT33" i="1"/>
  <c r="BS33" i="1"/>
  <c r="BE33" i="1"/>
  <c r="BD33" i="1"/>
  <c r="CX32" i="1"/>
  <c r="CW32" i="1"/>
  <c r="CI32" i="1"/>
  <c r="CH32" i="1"/>
  <c r="BT32" i="1"/>
  <c r="BS32" i="1"/>
  <c r="BE32" i="1"/>
  <c r="BD32" i="1"/>
  <c r="CZ31" i="1"/>
  <c r="CW31" i="1"/>
  <c r="CK31" i="1"/>
  <c r="CH31" i="1"/>
  <c r="BV31" i="1"/>
  <c r="BS31" i="1"/>
  <c r="BG31" i="1"/>
  <c r="BD31" i="1"/>
  <c r="J30" i="1"/>
  <c r="J70" i="1" s="1"/>
  <c r="I30" i="1"/>
  <c r="I70" i="1" s="1"/>
  <c r="H30" i="1"/>
  <c r="H70" i="1" s="1"/>
  <c r="G30" i="1"/>
  <c r="G70" i="1" s="1"/>
  <c r="CX30" i="1"/>
  <c r="CV30" i="1"/>
  <c r="CU30" i="1"/>
  <c r="CI30" i="1"/>
  <c r="CG30" i="1"/>
  <c r="CF30" i="1"/>
  <c r="BT30" i="1"/>
  <c r="BR30" i="1"/>
  <c r="BQ30" i="1"/>
  <c r="BE30" i="1"/>
  <c r="BC30" i="1"/>
  <c r="BB30" i="1"/>
  <c r="CX29" i="1"/>
  <c r="CW29" i="1"/>
  <c r="CV29" i="1"/>
  <c r="CU29" i="1"/>
  <c r="CI29" i="1"/>
  <c r="CH29" i="1"/>
  <c r="CG29" i="1"/>
  <c r="CF29" i="1"/>
  <c r="BT29" i="1"/>
  <c r="BS29" i="1"/>
  <c r="BR29" i="1"/>
  <c r="BQ29" i="1"/>
  <c r="BE29" i="1"/>
  <c r="BD29" i="1"/>
  <c r="BC29" i="1"/>
  <c r="BB29" i="1"/>
  <c r="CV28" i="1"/>
  <c r="CU28" i="1"/>
  <c r="CG28" i="1"/>
  <c r="CF28" i="1"/>
  <c r="BR28" i="1"/>
  <c r="BQ28" i="1"/>
  <c r="BC28" i="1"/>
  <c r="BB28" i="1"/>
  <c r="CX27" i="1"/>
  <c r="CW27" i="1"/>
  <c r="CV27" i="1"/>
  <c r="CU27" i="1"/>
  <c r="CT27" i="1"/>
  <c r="CI27" i="1"/>
  <c r="CH27" i="1"/>
  <c r="CG27" i="1"/>
  <c r="CF27" i="1"/>
  <c r="CE27" i="1"/>
  <c r="BT27" i="1"/>
  <c r="BS27" i="1"/>
  <c r="BR27" i="1"/>
  <c r="BQ27" i="1"/>
  <c r="BP27" i="1"/>
  <c r="BE27" i="1"/>
  <c r="BD27" i="1"/>
  <c r="BC27" i="1"/>
  <c r="BB27" i="1"/>
  <c r="BA27" i="1"/>
  <c r="CX26" i="1"/>
  <c r="CW26" i="1"/>
  <c r="CU26" i="1"/>
  <c r="CT26" i="1"/>
  <c r="CI26" i="1"/>
  <c r="CH26" i="1"/>
  <c r="CF26" i="1"/>
  <c r="CE26" i="1"/>
  <c r="BT26" i="1"/>
  <c r="BS26" i="1"/>
  <c r="BQ26" i="1"/>
  <c r="BP26" i="1"/>
  <c r="BE26" i="1"/>
  <c r="BD26" i="1"/>
  <c r="BB26" i="1"/>
  <c r="BA26" i="1"/>
  <c r="CY25" i="1"/>
  <c r="CV25" i="1"/>
  <c r="CU25" i="1"/>
  <c r="CT25" i="1"/>
  <c r="CS25" i="1"/>
  <c r="CJ25" i="1"/>
  <c r="CG25" i="1"/>
  <c r="CF25" i="1"/>
  <c r="CE25" i="1"/>
  <c r="CD25" i="1"/>
  <c r="BU25" i="1"/>
  <c r="BR25" i="1"/>
  <c r="BQ25" i="1"/>
  <c r="BP25" i="1"/>
  <c r="BO25" i="1"/>
  <c r="BF25" i="1"/>
  <c r="BC25" i="1"/>
  <c r="BB25" i="1"/>
  <c r="BA25" i="1"/>
  <c r="AZ25" i="1"/>
  <c r="CS24" i="1"/>
  <c r="CD24" i="1"/>
  <c r="BO24" i="1"/>
  <c r="AZ24" i="1"/>
  <c r="U24" i="1"/>
  <c r="CZ23" i="1"/>
  <c r="CS23" i="1"/>
  <c r="CK23" i="1"/>
  <c r="CD23" i="1"/>
  <c r="BV23" i="1"/>
  <c r="BO23" i="1"/>
  <c r="BG23" i="1"/>
  <c r="AZ23" i="1"/>
  <c r="CZ22" i="1"/>
  <c r="CY22" i="1"/>
  <c r="CS22" i="1"/>
  <c r="CR22" i="1"/>
  <c r="CK22" i="1"/>
  <c r="CJ22" i="1"/>
  <c r="CD22" i="1"/>
  <c r="CC22" i="1"/>
  <c r="BV22" i="1"/>
  <c r="BU22" i="1"/>
  <c r="BO22" i="1"/>
  <c r="BN22" i="1"/>
  <c r="BG22" i="1"/>
  <c r="BF22" i="1"/>
  <c r="AZ22" i="1"/>
  <c r="AY22" i="1"/>
  <c r="CY21" i="1"/>
  <c r="CX21" i="1"/>
  <c r="CR21" i="1"/>
  <c r="CJ21" i="1"/>
  <c r="CI21" i="1"/>
  <c r="CC21" i="1"/>
  <c r="BU21" i="1"/>
  <c r="BT21" i="1"/>
  <c r="BN21" i="1"/>
  <c r="BF21" i="1"/>
  <c r="BE21" i="1"/>
  <c r="AY21" i="1"/>
  <c r="CZ20" i="1"/>
  <c r="CX20" i="1"/>
  <c r="CR20" i="1"/>
  <c r="CK20" i="1"/>
  <c r="CI20" i="1"/>
  <c r="CC20" i="1"/>
  <c r="BV20" i="1"/>
  <c r="BT20" i="1"/>
  <c r="BN20" i="1"/>
  <c r="BG20" i="1"/>
  <c r="BE20" i="1"/>
  <c r="AY20" i="1"/>
  <c r="CR19" i="1"/>
  <c r="CC19" i="1"/>
  <c r="BN19" i="1"/>
  <c r="AY19" i="1"/>
  <c r="CY18" i="1"/>
  <c r="CX18" i="1"/>
  <c r="CW18" i="1"/>
  <c r="CT18" i="1"/>
  <c r="CR18" i="1"/>
  <c r="CJ18" i="1"/>
  <c r="CI18" i="1"/>
  <c r="CH18" i="1"/>
  <c r="CE18" i="1"/>
  <c r="CC18" i="1"/>
  <c r="BU18" i="1"/>
  <c r="BT18" i="1"/>
  <c r="BS18" i="1"/>
  <c r="BP18" i="1"/>
  <c r="BN18" i="1"/>
  <c r="BF18" i="1"/>
  <c r="BE18" i="1"/>
  <c r="BD18" i="1"/>
  <c r="BA18" i="1"/>
  <c r="AY18" i="1"/>
  <c r="CZ17" i="1"/>
  <c r="CK17" i="1"/>
  <c r="BV17" i="1"/>
  <c r="BG17" i="1"/>
  <c r="CX16" i="1"/>
  <c r="CI16" i="1"/>
  <c r="BT16" i="1"/>
  <c r="BE16" i="1"/>
  <c r="CV15" i="1"/>
  <c r="CU15" i="1"/>
  <c r="CT15" i="1"/>
  <c r="CG15" i="1"/>
  <c r="CF15" i="1"/>
  <c r="CE15" i="1"/>
  <c r="BR15" i="1"/>
  <c r="BQ15" i="1"/>
  <c r="BP15" i="1"/>
  <c r="BC15" i="1"/>
  <c r="BB15" i="1"/>
  <c r="BA15" i="1"/>
  <c r="CW14" i="1"/>
  <c r="CS14" i="1"/>
  <c r="CH14" i="1"/>
  <c r="CD14" i="1"/>
  <c r="BS14" i="1"/>
  <c r="BO14" i="1"/>
  <c r="BD14" i="1"/>
  <c r="AZ14" i="1"/>
  <c r="AE14" i="1"/>
  <c r="M14" i="1"/>
  <c r="CS13" i="1"/>
  <c r="CD13" i="1"/>
  <c r="BO13" i="1"/>
  <c r="AZ13" i="1"/>
  <c r="CV12" i="1"/>
  <c r="CT12" i="1"/>
  <c r="CS12" i="1"/>
  <c r="CG12" i="1"/>
  <c r="CE12" i="1"/>
  <c r="CD12" i="1"/>
  <c r="BR12" i="1"/>
  <c r="BP12" i="1"/>
  <c r="BO12" i="1"/>
  <c r="BC12" i="1"/>
  <c r="BA12" i="1"/>
  <c r="AZ12" i="1"/>
  <c r="CY11" i="1"/>
  <c r="CR11" i="1"/>
  <c r="CJ11" i="1"/>
  <c r="CC11" i="1"/>
  <c r="BU11" i="1"/>
  <c r="BN11" i="1"/>
  <c r="BF11" i="1"/>
  <c r="AY11" i="1"/>
  <c r="CZ10" i="1"/>
  <c r="CY10" i="1"/>
  <c r="CX10" i="1"/>
  <c r="CW10" i="1"/>
  <c r="CS10" i="1"/>
  <c r="CR10" i="1"/>
  <c r="CK10" i="1"/>
  <c r="CJ10" i="1"/>
  <c r="CI10" i="1"/>
  <c r="CH10" i="1"/>
  <c r="CD10" i="1"/>
  <c r="CC10" i="1"/>
  <c r="BV10" i="1"/>
  <c r="BU10" i="1"/>
  <c r="BT10" i="1"/>
  <c r="BS10" i="1"/>
  <c r="BO10" i="1"/>
  <c r="BN10" i="1"/>
  <c r="BG10" i="1"/>
  <c r="BF10" i="1"/>
  <c r="BE10" i="1"/>
  <c r="BD10" i="1"/>
  <c r="AZ10" i="1"/>
  <c r="AY10" i="1"/>
  <c r="CR9" i="1"/>
  <c r="CC9" i="1"/>
  <c r="BN9" i="1"/>
  <c r="AY9" i="1"/>
  <c r="CY8" i="1"/>
  <c r="CW8" i="1"/>
  <c r="CV8" i="1"/>
  <c r="CU8" i="1"/>
  <c r="CR8" i="1"/>
  <c r="CJ8" i="1"/>
  <c r="CH8" i="1"/>
  <c r="CG8" i="1"/>
  <c r="CF8" i="1"/>
  <c r="CC8" i="1"/>
  <c r="BU8" i="1"/>
  <c r="BS8" i="1"/>
  <c r="BR8" i="1"/>
  <c r="BQ8" i="1"/>
  <c r="BN8" i="1"/>
  <c r="BF8" i="1"/>
  <c r="BD8" i="1"/>
  <c r="BC8" i="1"/>
  <c r="BB8" i="1"/>
  <c r="AY8" i="1"/>
  <c r="CZ7" i="1"/>
  <c r="CY7" i="1"/>
  <c r="CK7" i="1"/>
  <c r="CJ7" i="1"/>
  <c r="BV7" i="1"/>
  <c r="BU7" i="1"/>
  <c r="BG7" i="1"/>
  <c r="BF7" i="1"/>
  <c r="CR6" i="1"/>
  <c r="CC6" i="1"/>
  <c r="BN6" i="1"/>
  <c r="AY6" i="1"/>
  <c r="U6" i="1"/>
  <c r="CZ5" i="1"/>
  <c r="CY5" i="1"/>
  <c r="CX5" i="1"/>
  <c r="CW5" i="1"/>
  <c r="CV5" i="1"/>
  <c r="CU5" i="1"/>
  <c r="CT5" i="1"/>
  <c r="CS5" i="1"/>
  <c r="CR5" i="1"/>
  <c r="CK5" i="1"/>
  <c r="CJ5" i="1"/>
  <c r="CI5" i="1"/>
  <c r="CH5" i="1"/>
  <c r="CG5" i="1"/>
  <c r="CF5" i="1"/>
  <c r="CE5" i="1"/>
  <c r="CD5" i="1"/>
  <c r="CC5" i="1"/>
  <c r="BV5" i="1"/>
  <c r="BU5" i="1"/>
  <c r="BT5" i="1"/>
  <c r="BS5" i="1"/>
  <c r="BR5" i="1"/>
  <c r="BQ5" i="1"/>
  <c r="BP5" i="1"/>
  <c r="BO5" i="1"/>
  <c r="BN5" i="1"/>
  <c r="BG5" i="1"/>
  <c r="BF5" i="1"/>
  <c r="BE5" i="1"/>
  <c r="BD5" i="1"/>
  <c r="BC5" i="1"/>
  <c r="BB5" i="1"/>
  <c r="BA5" i="1"/>
  <c r="AZ5" i="1"/>
  <c r="AY5" i="1"/>
  <c r="CZ4" i="1"/>
  <c r="CZ35" i="1" s="1"/>
  <c r="J88" i="1" s="1"/>
  <c r="CY4" i="1"/>
  <c r="CY35" i="1" s="1"/>
  <c r="J87" i="1" s="1"/>
  <c r="CX4" i="1"/>
  <c r="CX35" i="1" s="1"/>
  <c r="J77" i="1" s="1"/>
  <c r="CW4" i="1"/>
  <c r="CW35" i="1" s="1"/>
  <c r="J76" i="1" s="1"/>
  <c r="CV4" i="1"/>
  <c r="CV35" i="1" s="1"/>
  <c r="CU4" i="1"/>
  <c r="CU35" i="1" s="1"/>
  <c r="J75" i="1" s="1"/>
  <c r="CT4" i="1"/>
  <c r="CT35" i="1" s="1"/>
  <c r="CS4" i="1"/>
  <c r="CS35" i="1" s="1"/>
  <c r="J74" i="1" s="1"/>
  <c r="CR4" i="1"/>
  <c r="CR35" i="1" s="1"/>
  <c r="J73" i="1" s="1"/>
  <c r="CK4" i="1"/>
  <c r="CK35" i="1" s="1"/>
  <c r="I88" i="1" s="1"/>
  <c r="CJ4" i="1"/>
  <c r="CJ35" i="1" s="1"/>
  <c r="I87" i="1" s="1"/>
  <c r="CI4" i="1"/>
  <c r="CH4" i="1"/>
  <c r="CH35" i="1" s="1"/>
  <c r="I76" i="1" s="1"/>
  <c r="CG4" i="1"/>
  <c r="CG35" i="1" s="1"/>
  <c r="CF4" i="1"/>
  <c r="CF35" i="1" s="1"/>
  <c r="I75" i="1" s="1"/>
  <c r="CE4" i="1"/>
  <c r="CE35" i="1" s="1"/>
  <c r="CD4" i="1"/>
  <c r="CD35" i="1" s="1"/>
  <c r="I74" i="1" s="1"/>
  <c r="CC4" i="1"/>
  <c r="CC35" i="1" s="1"/>
  <c r="I73" i="1" s="1"/>
  <c r="BV4" i="1"/>
  <c r="BV35" i="1" s="1"/>
  <c r="H88" i="1" s="1"/>
  <c r="BU4" i="1"/>
  <c r="BU35" i="1" s="1"/>
  <c r="H87" i="1" s="1"/>
  <c r="BT4" i="1"/>
  <c r="BT35" i="1" s="1"/>
  <c r="H77" i="1" s="1"/>
  <c r="BS4" i="1"/>
  <c r="BS35" i="1" s="1"/>
  <c r="H76" i="1" s="1"/>
  <c r="BR4" i="1"/>
  <c r="BR35" i="1" s="1"/>
  <c r="BQ4" i="1"/>
  <c r="BQ35" i="1" s="1"/>
  <c r="H75" i="1" s="1"/>
  <c r="BP4" i="1"/>
  <c r="BP35" i="1" s="1"/>
  <c r="BO4" i="1"/>
  <c r="BO35" i="1" s="1"/>
  <c r="H74" i="1" s="1"/>
  <c r="BN4" i="1"/>
  <c r="BN35" i="1" s="1"/>
  <c r="H73" i="1" s="1"/>
  <c r="BG4" i="1"/>
  <c r="BG35" i="1" s="1"/>
  <c r="BF4" i="1"/>
  <c r="BF35" i="1" s="1"/>
  <c r="G87" i="1" s="1"/>
  <c r="BE4" i="1"/>
  <c r="BE35" i="1" s="1"/>
  <c r="G77" i="1" s="1"/>
  <c r="BD4" i="1"/>
  <c r="BC4" i="1"/>
  <c r="BC35" i="1" s="1"/>
  <c r="BB4" i="1"/>
  <c r="BB35" i="1" s="1"/>
  <c r="G75" i="1" s="1"/>
  <c r="BA4" i="1"/>
  <c r="BA35" i="1" s="1"/>
  <c r="AZ4" i="1"/>
  <c r="AZ35" i="1" s="1"/>
  <c r="G74" i="1" s="1"/>
  <c r="AY35" i="1"/>
  <c r="G73" i="1" s="1"/>
  <c r="BD35" i="1" l="1"/>
  <c r="G76" i="1" s="1"/>
  <c r="N76" i="1" s="1"/>
  <c r="CI35" i="1"/>
  <c r="I77" i="1" s="1"/>
  <c r="N77" i="1" s="1"/>
  <c r="G88" i="1"/>
  <c r="N88" i="1" s="1"/>
  <c r="N82" i="1"/>
  <c r="AP82" i="1" s="1"/>
  <c r="AU82" i="1" s="1"/>
  <c r="BY35" i="1"/>
  <c r="H83" i="1" s="1"/>
  <c r="N74" i="1"/>
  <c r="N75" i="1"/>
  <c r="DC35" i="1"/>
  <c r="J83" i="1" s="1"/>
  <c r="I89" i="1"/>
  <c r="H89" i="1"/>
  <c r="J89" i="1"/>
  <c r="H78" i="1"/>
  <c r="J78" i="1"/>
  <c r="N87" i="1"/>
  <c r="N73" i="1"/>
  <c r="H81" i="1"/>
  <c r="J81" i="1"/>
  <c r="BJ35" i="1"/>
  <c r="G83" i="1" s="1"/>
  <c r="CN35" i="1"/>
  <c r="I83" i="1" s="1"/>
  <c r="I84" i="1" s="1"/>
  <c r="G78" i="1" l="1"/>
  <c r="I78" i="1"/>
  <c r="G89" i="1"/>
  <c r="J84" i="1"/>
  <c r="H84" i="1"/>
  <c r="AR82" i="1"/>
  <c r="AW82" i="1" s="1"/>
  <c r="AO88" i="1"/>
  <c r="AT88" i="1" s="1"/>
  <c r="AR88" i="1"/>
  <c r="AW88" i="1" s="1"/>
  <c r="AP88" i="1"/>
  <c r="AU88" i="1" s="1"/>
  <c r="AQ88" i="1"/>
  <c r="AV88" i="1" s="1"/>
  <c r="AO82" i="1"/>
  <c r="AT82" i="1" s="1"/>
  <c r="AQ82" i="1"/>
  <c r="AV82" i="1" s="1"/>
  <c r="AQ74" i="1"/>
  <c r="AV74" i="1" s="1"/>
  <c r="AO74" i="1"/>
  <c r="AT74" i="1" s="1"/>
  <c r="AR74" i="1"/>
  <c r="AW74" i="1" s="1"/>
  <c r="AP74" i="1"/>
  <c r="AU74" i="1" s="1"/>
  <c r="AQ77" i="1"/>
  <c r="AV77" i="1" s="1"/>
  <c r="AO77" i="1"/>
  <c r="AT77" i="1" s="1"/>
  <c r="AR77" i="1"/>
  <c r="AW77" i="1" s="1"/>
  <c r="AP77" i="1"/>
  <c r="AU77" i="1" s="1"/>
  <c r="AQ73" i="1"/>
  <c r="AV73" i="1" s="1"/>
  <c r="AO73" i="1"/>
  <c r="AT73" i="1" s="1"/>
  <c r="AR73" i="1"/>
  <c r="AW73" i="1" s="1"/>
  <c r="AP73" i="1"/>
  <c r="AU73" i="1" s="1"/>
  <c r="AQ87" i="1"/>
  <c r="AV87" i="1" s="1"/>
  <c r="AO87" i="1"/>
  <c r="AT87" i="1" s="1"/>
  <c r="AR87" i="1"/>
  <c r="AW87" i="1" s="1"/>
  <c r="AP87" i="1"/>
  <c r="AU87" i="1" s="1"/>
  <c r="AQ75" i="1"/>
  <c r="AV75" i="1" s="1"/>
  <c r="AO75" i="1"/>
  <c r="AT75" i="1" s="1"/>
  <c r="AR75" i="1"/>
  <c r="AW75" i="1" s="1"/>
  <c r="AP75" i="1"/>
  <c r="AU75" i="1" s="1"/>
  <c r="AQ76" i="1"/>
  <c r="AV76" i="1" s="1"/>
  <c r="AO76" i="1"/>
  <c r="AT76" i="1" s="1"/>
  <c r="AR76" i="1"/>
  <c r="AW76" i="1" s="1"/>
  <c r="AP76" i="1"/>
  <c r="AU76" i="1" s="1"/>
  <c r="N83" i="1"/>
  <c r="N89" i="1"/>
  <c r="N81" i="1"/>
  <c r="N78" i="1"/>
  <c r="G84" i="1"/>
  <c r="N84" i="1" s="1"/>
  <c r="AM88" i="1" l="1"/>
  <c r="AL82" i="1"/>
  <c r="AM82" i="1"/>
  <c r="AL88" i="1"/>
  <c r="H61" i="1"/>
  <c r="J61" i="1" s="1"/>
  <c r="AR84" i="1"/>
  <c r="AW84" i="1" s="1"/>
  <c r="AP84" i="1"/>
  <c r="AU84" i="1" s="1"/>
  <c r="AQ84" i="1"/>
  <c r="AV84" i="1" s="1"/>
  <c r="AO84" i="1"/>
  <c r="AT84" i="1" s="1"/>
  <c r="AR83" i="1"/>
  <c r="AW83" i="1" s="1"/>
  <c r="AP83" i="1"/>
  <c r="AU83" i="1" s="1"/>
  <c r="AQ83" i="1"/>
  <c r="AV83" i="1" s="1"/>
  <c r="AO83" i="1"/>
  <c r="AT83" i="1" s="1"/>
  <c r="AR81" i="1"/>
  <c r="AW81" i="1" s="1"/>
  <c r="AP81" i="1"/>
  <c r="AU81" i="1" s="1"/>
  <c r="AQ81" i="1"/>
  <c r="AV81" i="1" s="1"/>
  <c r="AO81" i="1"/>
  <c r="AT81" i="1" s="1"/>
  <c r="H60" i="1"/>
  <c r="J60" i="1" s="1"/>
  <c r="AQ78" i="1"/>
  <c r="AV78" i="1" s="1"/>
  <c r="AO78" i="1"/>
  <c r="AT78" i="1" s="1"/>
  <c r="AR78" i="1"/>
  <c r="AW78" i="1" s="1"/>
  <c r="AP78" i="1"/>
  <c r="AU78" i="1" s="1"/>
  <c r="H62" i="1"/>
  <c r="J62" i="1" s="1"/>
  <c r="AQ89" i="1"/>
  <c r="AV89" i="1" s="1"/>
  <c r="AO89" i="1"/>
  <c r="AT89" i="1" s="1"/>
  <c r="AR89" i="1"/>
  <c r="AW89" i="1" s="1"/>
  <c r="AP89" i="1"/>
  <c r="AU89" i="1" s="1"/>
  <c r="AL76" i="1"/>
  <c r="AM76" i="1"/>
  <c r="AM75" i="1"/>
  <c r="AL75" i="1"/>
  <c r="AM87" i="1"/>
  <c r="AL87" i="1"/>
  <c r="AM73" i="1"/>
  <c r="AL73" i="1"/>
  <c r="AM77" i="1"/>
  <c r="AL77" i="1"/>
  <c r="AL74" i="1"/>
  <c r="AM74" i="1"/>
  <c r="AJ88" i="1" l="1"/>
  <c r="Q88" i="1" s="1"/>
  <c r="AJ82" i="1"/>
  <c r="Q82" i="1" s="1"/>
  <c r="H64" i="1"/>
  <c r="AP58" i="1" s="1"/>
  <c r="AS62" i="1" s="1"/>
  <c r="AP62" i="1" s="1"/>
  <c r="J64" i="1"/>
  <c r="AQ58" i="1" s="1"/>
  <c r="AT59" i="1" s="1"/>
  <c r="AQ59" i="1" s="1"/>
  <c r="AJ77" i="1"/>
  <c r="Q77" i="1" s="1"/>
  <c r="AJ73" i="1"/>
  <c r="Q73" i="1" s="1"/>
  <c r="AJ87" i="1"/>
  <c r="Q87" i="1" s="1"/>
  <c r="AM83" i="1"/>
  <c r="AL83" i="1"/>
  <c r="AM84" i="1"/>
  <c r="AL84" i="1"/>
  <c r="AM81" i="1"/>
  <c r="AL81" i="1"/>
  <c r="AJ75" i="1"/>
  <c r="Q75" i="1" s="1"/>
  <c r="AM78" i="1"/>
  <c r="AL78" i="1"/>
  <c r="AJ74" i="1"/>
  <c r="Q74" i="1" s="1"/>
  <c r="AJ76" i="1"/>
  <c r="Q76" i="1" s="1"/>
  <c r="AM89" i="1"/>
  <c r="AL89" i="1"/>
  <c r="AS60" i="1" l="1"/>
  <c r="AP60" i="1" s="1"/>
  <c r="AS59" i="1"/>
  <c r="AP59" i="1" s="1"/>
  <c r="AS61" i="1"/>
  <c r="AP61" i="1" s="1"/>
  <c r="AT60" i="1"/>
  <c r="AQ60" i="1" s="1"/>
  <c r="AT61" i="1"/>
  <c r="AQ61" i="1" s="1"/>
  <c r="AT62" i="1"/>
  <c r="AQ62" i="1" s="1"/>
  <c r="AJ81" i="1"/>
  <c r="Q81" i="1" s="1"/>
  <c r="AJ84" i="1"/>
  <c r="Q84" i="1" s="1"/>
  <c r="AJ83" i="1"/>
  <c r="Q83" i="1" s="1"/>
  <c r="AJ89" i="1"/>
  <c r="Q89" i="1" s="1"/>
  <c r="AJ78" i="1"/>
  <c r="Q78" i="1" s="1"/>
  <c r="I66" i="1" l="1"/>
  <c r="H66" i="1"/>
  <c r="J66" i="1"/>
  <c r="K66" i="1"/>
</calcChain>
</file>

<file path=xl/comments1.xml><?xml version="1.0" encoding="utf-8"?>
<comments xmlns="http://schemas.openxmlformats.org/spreadsheetml/2006/main">
  <authors>
    <author>Gary Nates</author>
  </authors>
  <commentList>
    <comment ref="D24" authorId="0">
      <text>
        <r>
          <rPr>
            <sz val="9"/>
            <color indexed="81"/>
            <rFont val="Tahoma"/>
            <family val="2"/>
          </rPr>
          <t>Small = 1 or 2 approach lanes and intersection depth of 25m or less.
Large = 3 or more approach lanes and intersection depth of 40m or greater.
Medium = Those not lying in either of the two categories.</t>
        </r>
      </text>
    </comment>
    <comment ref="D25" authorId="0">
      <text>
        <r>
          <rPr>
            <sz val="9"/>
            <color indexed="81"/>
            <rFont val="Tahoma"/>
            <family val="2"/>
          </rPr>
          <t>Choose the city that best represents the environment of the chosen itnersection.</t>
        </r>
      </text>
    </comment>
    <comment ref="D28" authorId="0">
      <text>
        <r>
          <rPr>
            <sz val="9"/>
            <color indexed="81"/>
            <rFont val="Tahoma"/>
            <family val="2"/>
          </rPr>
          <t>per cycle</t>
        </r>
      </text>
    </comment>
    <comment ref="D29" authorId="0">
      <text>
        <r>
          <rPr>
            <sz val="9"/>
            <color indexed="81"/>
            <rFont val="Tahoma"/>
            <family val="2"/>
          </rPr>
          <t>per cycle.</t>
        </r>
      </text>
    </comment>
    <comment ref="B37" authorId="0">
      <text>
        <r>
          <rPr>
            <sz val="9"/>
            <color indexed="81"/>
            <rFont val="Tahoma"/>
            <family val="2"/>
          </rPr>
          <t>May be any conbination of shared movements.</t>
        </r>
      </text>
    </comment>
    <comment ref="B41" authorId="0">
      <text>
        <r>
          <rPr>
            <sz val="9"/>
            <color indexed="81"/>
            <rFont val="Tahoma"/>
            <family val="2"/>
          </rPr>
          <t>Impacts motor vehicle crashes.</t>
        </r>
      </text>
    </comment>
    <comment ref="B48" authorId="0">
      <text>
        <r>
          <rPr>
            <sz val="9"/>
            <color indexed="81"/>
            <rFont val="Tahoma"/>
            <family val="2"/>
          </rPr>
          <t>with intersections within 100m.</t>
        </r>
      </text>
    </comment>
    <comment ref="B55" authorId="0">
      <text>
        <r>
          <rPr>
            <sz val="9"/>
            <color indexed="81"/>
            <rFont val="Tahoma"/>
            <family val="2"/>
          </rPr>
          <t>Res = Residential
Com / Ind = Commercial and/or Industial.</t>
        </r>
      </text>
    </comment>
  </commentList>
</comments>
</file>

<file path=xl/sharedStrings.xml><?xml version="1.0" encoding="utf-8"?>
<sst xmlns="http://schemas.openxmlformats.org/spreadsheetml/2006/main" count="444" uniqueCount="164">
  <si>
    <t>Ped flows</t>
  </si>
  <si>
    <t>Cycle</t>
  </si>
  <si>
    <t>Motor vehicle</t>
  </si>
  <si>
    <t>Pedestrians</t>
  </si>
  <si>
    <t>Signalised Crossroads Crash Prediction Models</t>
  </si>
  <si>
    <t>FLOWS</t>
  </si>
  <si>
    <t>none</t>
  </si>
  <si>
    <t>b0</t>
  </si>
  <si>
    <t>b1</t>
  </si>
  <si>
    <t>b2</t>
  </si>
  <si>
    <t>Northern approach</t>
  </si>
  <si>
    <t>F</t>
  </si>
  <si>
    <t>Eastern approach</t>
  </si>
  <si>
    <t>Southern approach</t>
  </si>
  <si>
    <t>Western approach</t>
  </si>
  <si>
    <t>Project:</t>
  </si>
  <si>
    <t>Vehicle and cyclist flows entered must be  as average annual daily flows.
Pedestrian flows are rated from "none" to "very high".</t>
  </si>
  <si>
    <t>very low</t>
  </si>
  <si>
    <t>Same Dir</t>
  </si>
  <si>
    <t>HA</t>
  </si>
  <si>
    <t>LB</t>
  </si>
  <si>
    <t>Small</t>
  </si>
  <si>
    <t>Medium</t>
  </si>
  <si>
    <t>Large</t>
  </si>
  <si>
    <t>C&amp;D</t>
  </si>
  <si>
    <t>Other</t>
  </si>
  <si>
    <t>NA&amp;NB</t>
  </si>
  <si>
    <t>ND&amp;NF</t>
  </si>
  <si>
    <t>A,E,F,G</t>
  </si>
  <si>
    <t>Analysis Year:</t>
  </si>
  <si>
    <t>low</t>
  </si>
  <si>
    <t>Right Turn Against</t>
  </si>
  <si>
    <t>B0</t>
  </si>
  <si>
    <t>Intersection:</t>
  </si>
  <si>
    <t>medium</t>
  </si>
  <si>
    <t>Flow 1</t>
  </si>
  <si>
    <t>high</t>
  </si>
  <si>
    <t>Flow 2</t>
  </si>
  <si>
    <t>very high</t>
  </si>
  <si>
    <t>Ped flow</t>
  </si>
  <si>
    <t>No approach lanes</t>
  </si>
  <si>
    <t>Intersection depth</t>
  </si>
  <si>
    <t>MV</t>
  </si>
  <si>
    <t>Cycle time</t>
  </si>
  <si>
    <t>intersection size</t>
  </si>
  <si>
    <t>all red time</t>
  </si>
  <si>
    <t>Peds</t>
  </si>
  <si>
    <t>length of RT bay or lane</t>
  </si>
  <si>
    <t>no through lanes</t>
  </si>
  <si>
    <t>degree of saturation</t>
  </si>
  <si>
    <t>lost time</t>
  </si>
  <si>
    <t>City</t>
  </si>
  <si>
    <t>approach width</t>
  </si>
  <si>
    <t>Auckland</t>
  </si>
  <si>
    <t>yellow time</t>
  </si>
  <si>
    <t>Wellington</t>
  </si>
  <si>
    <t>F split phasing</t>
  </si>
  <si>
    <t>Christchurch</t>
  </si>
  <si>
    <t>F mast arm</t>
  </si>
  <si>
    <t>Hamilton</t>
  </si>
  <si>
    <t>F coordinated</t>
  </si>
  <si>
    <t>Dunedin</t>
  </si>
  <si>
    <t>F shared turn</t>
  </si>
  <si>
    <t>These are intersection variables and relate to all approaches</t>
  </si>
  <si>
    <t>Enter The name of the roads below</t>
  </si>
  <si>
    <t>Melbourne</t>
  </si>
  <si>
    <t>F med island</t>
  </si>
  <si>
    <t>F full RT prot</t>
  </si>
  <si>
    <t>Intersection size</t>
  </si>
  <si>
    <t>F shared RT</t>
  </si>
  <si>
    <t>F cycle fac</t>
  </si>
  <si>
    <t>Phasing type</t>
  </si>
  <si>
    <t>Split phasing</t>
  </si>
  <si>
    <t>F approach bus bay</t>
  </si>
  <si>
    <t>Cycle time (s)</t>
  </si>
  <si>
    <t>Standard phasing</t>
  </si>
  <si>
    <t>F FLT</t>
  </si>
  <si>
    <t>All-red time (s)</t>
  </si>
  <si>
    <t>F standard phasing</t>
  </si>
  <si>
    <t>Yellow time (s)</t>
  </si>
  <si>
    <t>F high speed</t>
  </si>
  <si>
    <t>All-red time/no approach lanes</t>
  </si>
  <si>
    <t>F commercial</t>
  </si>
  <si>
    <t>F residentail</t>
  </si>
  <si>
    <t>Intersection depth (m)</t>
  </si>
  <si>
    <t>F upstreem parking</t>
  </si>
  <si>
    <t>Approach width (m)</t>
  </si>
  <si>
    <t>F exit merge</t>
  </si>
  <si>
    <t>Total number of approach lanes</t>
  </si>
  <si>
    <t>Number of through lanes on approach</t>
  </si>
  <si>
    <t>Total</t>
  </si>
  <si>
    <t>Shared use lane/s on approach</t>
  </si>
  <si>
    <t>Yes</t>
  </si>
  <si>
    <t>Yes/No</t>
  </si>
  <si>
    <t>Free left turn for motor vehicles on approach</t>
  </si>
  <si>
    <t>No</t>
  </si>
  <si>
    <t>Raised median or central island on approach</t>
  </si>
  <si>
    <t>Merge present on exit side</t>
  </si>
  <si>
    <t>Land use</t>
  </si>
  <si>
    <t>Com / Ind</t>
  </si>
  <si>
    <t>Res</t>
  </si>
  <si>
    <t>Green time on through movements per cycle (s)</t>
  </si>
  <si>
    <t>Degree of saturation</t>
  </si>
  <si>
    <t>Capacity</t>
  </si>
  <si>
    <t>Coordinated with upstream intersection</t>
  </si>
  <si>
    <t>Overhead mast arm on approach</t>
  </si>
  <si>
    <t>Serious/fatal vs all injury crashes</t>
  </si>
  <si>
    <t>Other Variables (by approach)</t>
  </si>
  <si>
    <t>Speed limit 80km/hour or greater on apporach</t>
  </si>
  <si>
    <t>Bus bay within 100m upstream of approach</t>
  </si>
  <si>
    <t>Ped</t>
  </si>
  <si>
    <t>Parking  within 100m upstream of approach</t>
  </si>
  <si>
    <t>Dominant land use on approach</t>
  </si>
  <si>
    <t>TOTAL CRASHES</t>
  </si>
  <si>
    <t>SERIOUS &amp; FATAL CRASHES</t>
  </si>
  <si>
    <t>per year</t>
  </si>
  <si>
    <t>years</t>
  </si>
  <si>
    <t>Motor vehicle crashes</t>
  </si>
  <si>
    <t>months</t>
  </si>
  <si>
    <t>Cycle crashes</t>
  </si>
  <si>
    <t>Pedestrian crashes</t>
  </si>
  <si>
    <t>All crashes</t>
  </si>
  <si>
    <t>Return period (all crashes)</t>
  </si>
  <si>
    <t>CRASHES BY TYPE AND APPROACH</t>
  </si>
  <si>
    <t>C and D</t>
  </si>
  <si>
    <t>Cycle Crashes</t>
  </si>
  <si>
    <t>A, E, F, G</t>
  </si>
  <si>
    <t>Pedestrian Crashes</t>
  </si>
  <si>
    <t>Intersecting</t>
  </si>
  <si>
    <t>NA and NB</t>
  </si>
  <si>
    <t>ND and NF</t>
  </si>
  <si>
    <t>weeks</t>
  </si>
  <si>
    <t>days</t>
  </si>
  <si>
    <t>INJURY CRASHES</t>
  </si>
  <si>
    <t>Cycle facility on approach</t>
  </si>
  <si>
    <t>Description</t>
  </si>
  <si>
    <t>41 to 60 per hour</t>
  </si>
  <si>
    <t>up to 40 per hour</t>
  </si>
  <si>
    <t>61 to 120 per hour</t>
  </si>
  <si>
    <t>121 to 200 per hour</t>
  </si>
  <si>
    <t>greater than 201 per hour</t>
  </si>
  <si>
    <t>Pedestrian flow ranges (during peak hours)</t>
  </si>
  <si>
    <t>Flow (pedestrians per hour)</t>
  </si>
  <si>
    <t>Return</t>
  </si>
  <si>
    <r>
      <t xml:space="preserve">Instructions
   </t>
    </r>
    <r>
      <rPr>
        <sz val="10"/>
        <rFont val="Arial"/>
        <family val="2"/>
      </rPr>
      <t>1. Fill in project details above (grey).
   2. Fill in the names of the approaches below (red).
   3. Enter traffic flows for each approach in the diagram to the right.
       Motor vehicles (yellow) and cyclists (green) are to be entered as average annual daily flows and
       pedestrian flows (blue) range from "none" to "very high".
   4. Fill in intersection-wide variables below (orange).
   5. Fill in approach-specific variables below (purple).</t>
    </r>
  </si>
  <si>
    <t>Geometric variables (by approach)</t>
  </si>
  <si>
    <t>Length of right-turn bay or lane on approach (m)</t>
  </si>
  <si>
    <t>Shared right-turn lane on approach</t>
  </si>
  <si>
    <t>Signal-related variables (by approach)</t>
  </si>
  <si>
    <t>Fully protected right-turn phasing</t>
  </si>
  <si>
    <t>Right-angle</t>
  </si>
  <si>
    <t>Right-turn-against</t>
  </si>
  <si>
    <t>Rear-end</t>
  </si>
  <si>
    <t>Loss-of-control</t>
  </si>
  <si>
    <t>Crash type</t>
  </si>
  <si>
    <t>Crash code</t>
  </si>
  <si>
    <t>period</t>
  </si>
  <si>
    <t>Same direction</t>
  </si>
  <si>
    <t>Right-turning</t>
  </si>
  <si>
    <t>Fitzgerald/Gloucester</t>
  </si>
  <si>
    <t>Fitzgerald Avenue North</t>
  </si>
  <si>
    <t>Fitzgerald Avenue South</t>
  </si>
  <si>
    <t>Gloucester Street East</t>
  </si>
  <si>
    <t>yes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</si>
</sst>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m/yy"/>
    <numFmt numFmtId="165" formatCode="0.000"/>
    <numFmt numFmtId="166" formatCode="0.0"/>
  </numFmts>
  <fonts count="10" x14ac:knownFonts="1">
    <font>
      <sz val="10"/>
      <name val="Arial"/>
      <family val="2"/>
    </font>
    <font>
      <sz val="10"/>
      <name val="Arial"/>
      <family val="2"/>
    </font>
    <font>
      <b/>
      <sz val="10"/>
      <name val="Arial"/>
      <family val="2"/>
    </font>
    <font>
      <b/>
      <sz val="12"/>
      <name val="Arial"/>
      <family val="2"/>
    </font>
    <font>
      <sz val="10"/>
      <color theme="0" tint="-0.499984740745262"/>
      <name val="Arial"/>
      <family val="2"/>
    </font>
    <font>
      <sz val="8"/>
      <name val="Arial"/>
      <family val="2"/>
    </font>
    <font>
      <sz val="9"/>
      <color indexed="81"/>
      <name val="Tahoma"/>
      <family val="2"/>
    </font>
    <font>
      <b/>
      <sz val="9"/>
      <name val="Arial"/>
      <family val="2"/>
    </font>
    <font>
      <sz val="9"/>
      <name val="Arial"/>
      <family val="2"/>
    </font>
    <font>
      <b/>
      <sz val="9.5"/>
      <name val="Arial"/>
      <family val="2"/>
    </font>
  </fonts>
  <fills count="16">
    <fill>
      <patternFill patternType="none"/>
    </fill>
    <fill>
      <patternFill patternType="gray125"/>
    </fill>
    <fill>
      <patternFill patternType="solid">
        <fgColor rgb="FF002060"/>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99FFCC"/>
        <bgColor indexed="64"/>
      </patternFill>
    </fill>
    <fill>
      <patternFill patternType="solid">
        <fgColor indexed="43"/>
        <bgColor indexed="64"/>
      </patternFill>
    </fill>
    <fill>
      <patternFill patternType="solid">
        <fgColor indexed="44"/>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70">
    <xf numFmtId="0" fontId="0" fillId="0" borderId="0" xfId="0"/>
    <xf numFmtId="0" fontId="1" fillId="0" borderId="0" xfId="0" applyFont="1" applyFill="1" applyProtection="1">
      <protection hidden="1"/>
    </xf>
    <xf numFmtId="0" fontId="1"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Border="1" applyProtection="1">
      <protection hidden="1"/>
    </xf>
    <xf numFmtId="0" fontId="2" fillId="0" borderId="0" xfId="0" applyFont="1" applyFill="1" applyBorder="1" applyProtection="1">
      <protection hidden="1"/>
    </xf>
    <xf numFmtId="0" fontId="0" fillId="0" borderId="0" xfId="0" applyFill="1" applyBorder="1" applyProtection="1">
      <protection hidden="1"/>
    </xf>
    <xf numFmtId="0" fontId="1" fillId="0" borderId="5" xfId="0" applyFont="1" applyBorder="1" applyProtection="1">
      <protection hidden="1"/>
    </xf>
    <xf numFmtId="0" fontId="0" fillId="0" borderId="5" xfId="0" applyBorder="1" applyProtection="1">
      <protection hidden="1"/>
    </xf>
    <xf numFmtId="11" fontId="1" fillId="0" borderId="0" xfId="0" applyNumberFormat="1" applyFont="1" applyBorder="1" applyAlignment="1" applyProtection="1">
      <alignment horizontal="center" wrapText="1"/>
      <protection hidden="1"/>
    </xf>
    <xf numFmtId="0" fontId="1" fillId="0" borderId="0" xfId="0" applyFont="1" applyBorder="1" applyAlignment="1" applyProtection="1">
      <alignment horizontal="center" wrapText="1"/>
      <protection hidden="1"/>
    </xf>
    <xf numFmtId="0" fontId="1" fillId="0" borderId="0" xfId="0" applyFont="1" applyFill="1" applyBorder="1" applyProtection="1">
      <protection hidden="1"/>
    </xf>
    <xf numFmtId="0" fontId="1" fillId="0" borderId="5" xfId="0" applyFont="1" applyFill="1" applyBorder="1" applyProtection="1">
      <protection hidden="1"/>
    </xf>
    <xf numFmtId="0" fontId="0" fillId="0" borderId="6" xfId="0" applyBorder="1" applyAlignment="1" applyProtection="1">
      <alignment horizontal="left"/>
      <protection hidden="1"/>
    </xf>
    <xf numFmtId="11" fontId="1" fillId="0" borderId="0" xfId="0" applyNumberFormat="1" applyFont="1" applyProtection="1">
      <protection hidden="1"/>
    </xf>
    <xf numFmtId="0" fontId="1" fillId="0" borderId="0" xfId="0" applyFont="1" applyBorder="1" applyProtection="1">
      <protection hidden="1"/>
    </xf>
    <xf numFmtId="0" fontId="0" fillId="5" borderId="0" xfId="0" applyFill="1" applyProtection="1">
      <protection hidden="1"/>
    </xf>
    <xf numFmtId="11" fontId="0" fillId="0" borderId="0" xfId="0" applyNumberFormat="1" applyProtection="1">
      <protection hidden="1"/>
    </xf>
    <xf numFmtId="2" fontId="0" fillId="5" borderId="0" xfId="0" applyNumberFormat="1" applyFill="1" applyProtection="1">
      <protection hidden="1"/>
    </xf>
    <xf numFmtId="2" fontId="0" fillId="0" borderId="0" xfId="0" applyNumberFormat="1" applyProtection="1">
      <protection hidden="1"/>
    </xf>
    <xf numFmtId="1" fontId="0" fillId="7" borderId="5" xfId="0" applyNumberFormat="1" applyFill="1" applyBorder="1" applyAlignment="1" applyProtection="1">
      <alignment horizontal="center" vertical="center"/>
      <protection locked="0"/>
    </xf>
    <xf numFmtId="0" fontId="1" fillId="0" borderId="1" xfId="0" applyFont="1" applyBorder="1" applyProtection="1">
      <protection hidden="1"/>
    </xf>
    <xf numFmtId="0" fontId="0" fillId="0" borderId="1" xfId="0" applyBorder="1" applyProtection="1">
      <protection hidden="1"/>
    </xf>
    <xf numFmtId="0" fontId="1" fillId="0" borderId="0" xfId="0" applyFont="1" applyAlignment="1" applyProtection="1">
      <alignment horizontal="right"/>
      <protection hidden="1"/>
    </xf>
    <xf numFmtId="2" fontId="0" fillId="0" borderId="0" xfId="0" applyNumberFormat="1" applyFill="1" applyProtection="1">
      <protection hidden="1"/>
    </xf>
    <xf numFmtId="1" fontId="0" fillId="8" borderId="5" xfId="0" applyNumberFormat="1" applyFill="1" applyBorder="1" applyAlignment="1" applyProtection="1">
      <alignment horizontal="center" vertical="center"/>
      <protection locked="0"/>
    </xf>
    <xf numFmtId="0" fontId="1" fillId="0" borderId="1" xfId="0" applyFont="1" applyFill="1" applyBorder="1" applyProtection="1">
      <protection hidden="1"/>
    </xf>
    <xf numFmtId="0" fontId="0" fillId="0" borderId="1" xfId="0" applyFill="1" applyBorder="1" applyProtection="1">
      <protection hidden="1"/>
    </xf>
    <xf numFmtId="1" fontId="0" fillId="9" borderId="5" xfId="0" applyNumberFormat="1" applyFill="1" applyBorder="1" applyAlignment="1" applyProtection="1">
      <alignment horizontal="center" vertical="center"/>
      <protection locked="0"/>
    </xf>
    <xf numFmtId="11" fontId="0" fillId="0" borderId="0" xfId="0" applyNumberFormat="1" applyFill="1" applyBorder="1" applyProtection="1">
      <protection hidden="1"/>
    </xf>
    <xf numFmtId="11" fontId="0" fillId="0" borderId="0" xfId="0" applyNumberFormat="1" applyFill="1" applyProtection="1">
      <protection hidden="1"/>
    </xf>
    <xf numFmtId="0" fontId="0" fillId="0" borderId="0" xfId="0" applyFill="1" applyProtection="1">
      <protection hidden="1"/>
    </xf>
    <xf numFmtId="11" fontId="0" fillId="10" borderId="0" xfId="0" applyNumberFormat="1" applyFill="1" applyProtection="1">
      <protection hidden="1"/>
    </xf>
    <xf numFmtId="0" fontId="1" fillId="0" borderId="0" xfId="0" applyFont="1" applyFill="1" applyAlignment="1" applyProtection="1">
      <alignment horizontal="right"/>
      <protection hidden="1"/>
    </xf>
    <xf numFmtId="0" fontId="0" fillId="12" borderId="5" xfId="0" applyFill="1" applyBorder="1" applyAlignment="1" applyProtection="1">
      <alignment horizontal="center"/>
      <protection locked="0"/>
    </xf>
    <xf numFmtId="0" fontId="0" fillId="0" borderId="0" xfId="0" applyAlignment="1" applyProtection="1">
      <alignment horizontal="right"/>
      <protection hidden="1"/>
    </xf>
    <xf numFmtId="0" fontId="2" fillId="0" borderId="0" xfId="0" applyFont="1" applyAlignment="1" applyProtection="1">
      <alignment horizontal="right"/>
      <protection hidden="1"/>
    </xf>
    <xf numFmtId="165" fontId="2" fillId="0" borderId="0" xfId="0" applyNumberFormat="1" applyFont="1" applyProtection="1">
      <protection hidden="1"/>
    </xf>
    <xf numFmtId="11" fontId="2" fillId="0" borderId="0" xfId="0" applyNumberFormat="1" applyFont="1" applyProtection="1">
      <protection hidden="1"/>
    </xf>
    <xf numFmtId="9" fontId="0" fillId="0" borderId="0" xfId="1" applyFont="1" applyProtection="1">
      <protection hidden="1"/>
    </xf>
    <xf numFmtId="0" fontId="2" fillId="6" borderId="0" xfId="0" applyFont="1" applyFill="1" applyBorder="1" applyProtection="1">
      <protection hidden="1"/>
    </xf>
    <xf numFmtId="0" fontId="0" fillId="2" borderId="0" xfId="0" applyFill="1" applyAlignment="1" applyProtection="1">
      <alignment wrapText="1"/>
    </xf>
    <xf numFmtId="0" fontId="0" fillId="2" borderId="0" xfId="0" applyFill="1" applyAlignment="1" applyProtection="1"/>
    <xf numFmtId="164" fontId="0" fillId="2" borderId="0" xfId="0" applyNumberFormat="1"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0" xfId="0" applyFill="1" applyBorder="1" applyAlignment="1" applyProtection="1">
      <alignment horizontal="center" vertical="center"/>
    </xf>
    <xf numFmtId="0" fontId="0" fillId="2" borderId="0" xfId="0" applyFill="1" applyAlignment="1" applyProtection="1">
      <alignment horizontal="left" vertical="top"/>
    </xf>
    <xf numFmtId="1" fontId="0" fillId="2" borderId="0" xfId="0" applyNumberFormat="1" applyFill="1" applyBorder="1" applyAlignment="1" applyProtection="1">
      <alignment horizontal="center"/>
    </xf>
    <xf numFmtId="0" fontId="0" fillId="2" borderId="0" xfId="0" applyFill="1" applyAlignment="1" applyProtection="1">
      <alignment vertical="center" wrapText="1"/>
    </xf>
    <xf numFmtId="0" fontId="0" fillId="2" borderId="0" xfId="0" applyFill="1" applyBorder="1" applyAlignment="1" applyProtection="1">
      <alignment vertical="center"/>
    </xf>
    <xf numFmtId="0" fontId="0" fillId="2" borderId="0" xfId="0" applyFill="1" applyBorder="1" applyAlignment="1" applyProtection="1">
      <alignment wrapText="1"/>
    </xf>
    <xf numFmtId="0" fontId="0" fillId="2" borderId="0" xfId="0" applyFill="1" applyBorder="1" applyAlignment="1" applyProtection="1"/>
    <xf numFmtId="2" fontId="2" fillId="8" borderId="5"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2" fontId="2" fillId="7" borderId="5" xfId="0" applyNumberFormat="1" applyFont="1" applyFill="1" applyBorder="1" applyAlignment="1" applyProtection="1">
      <alignment horizontal="right" vertical="center"/>
    </xf>
    <xf numFmtId="0" fontId="2" fillId="6" borderId="0" xfId="0" applyFont="1" applyFill="1" applyBorder="1" applyAlignment="1" applyProtection="1">
      <alignment horizontal="right"/>
    </xf>
    <xf numFmtId="2" fontId="2" fillId="9" borderId="5" xfId="0" applyNumberFormat="1" applyFont="1" applyFill="1" applyBorder="1" applyAlignment="1" applyProtection="1">
      <alignment horizontal="right" vertical="center"/>
    </xf>
    <xf numFmtId="2" fontId="2" fillId="6" borderId="0" xfId="0" applyNumberFormat="1" applyFont="1" applyFill="1" applyBorder="1" applyAlignment="1" applyProtection="1">
      <alignment horizontal="right" vertical="center"/>
    </xf>
    <xf numFmtId="0" fontId="2" fillId="6" borderId="0" xfId="0" applyFont="1" applyFill="1" applyBorder="1" applyAlignment="1" applyProtection="1"/>
    <xf numFmtId="0" fontId="2" fillId="6" borderId="0" xfId="0" applyFont="1" applyFill="1" applyAlignment="1" applyProtection="1"/>
    <xf numFmtId="0" fontId="0" fillId="6" borderId="0" xfId="0" applyFill="1" applyAlignment="1" applyProtection="1"/>
    <xf numFmtId="0" fontId="2" fillId="15" borderId="0" xfId="0" applyFont="1" applyFill="1" applyAlignment="1" applyProtection="1"/>
    <xf numFmtId="0" fontId="0" fillId="2" borderId="0" xfId="0" applyFill="1" applyProtection="1"/>
    <xf numFmtId="0" fontId="1" fillId="2" borderId="0" xfId="0" applyFont="1" applyFill="1" applyProtection="1"/>
    <xf numFmtId="0" fontId="0" fillId="2" borderId="1" xfId="0" applyFill="1" applyBorder="1" applyProtection="1"/>
    <xf numFmtId="0" fontId="2" fillId="3" borderId="2" xfId="0" applyFont="1" applyFill="1" applyBorder="1" applyAlignment="1" applyProtection="1">
      <alignment vertical="center"/>
    </xf>
    <xf numFmtId="0" fontId="0" fillId="3" borderId="3" xfId="0" applyFill="1" applyBorder="1" applyProtection="1"/>
    <xf numFmtId="0" fontId="3" fillId="2" borderId="0" xfId="0" applyFont="1" applyFill="1" applyBorder="1" applyProtection="1"/>
    <xf numFmtId="0" fontId="2" fillId="2" borderId="0" xfId="0" applyFont="1" applyFill="1" applyBorder="1" applyProtection="1"/>
    <xf numFmtId="0" fontId="0" fillId="2" borderId="0" xfId="0" applyFill="1" applyBorder="1" applyAlignment="1" applyProtection="1">
      <alignment vertical="top" wrapText="1"/>
    </xf>
    <xf numFmtId="0" fontId="2" fillId="3" borderId="8" xfId="0" applyFont="1" applyFill="1" applyBorder="1" applyAlignment="1" applyProtection="1">
      <alignment horizontal="center"/>
    </xf>
    <xf numFmtId="0" fontId="2" fillId="3" borderId="9" xfId="0" applyFont="1" applyFill="1" applyBorder="1" applyAlignment="1" applyProtection="1">
      <alignment horizontal="center"/>
    </xf>
    <xf numFmtId="0" fontId="2" fillId="3" borderId="10" xfId="0" applyFont="1" applyFill="1" applyBorder="1" applyAlignment="1" applyProtection="1">
      <alignment horizontal="center"/>
    </xf>
    <xf numFmtId="0" fontId="2" fillId="2" borderId="0" xfId="0" applyFont="1" applyFill="1" applyBorder="1" applyAlignment="1" applyProtection="1">
      <alignment horizontal="center"/>
    </xf>
    <xf numFmtId="0" fontId="2" fillId="0" borderId="0" xfId="0" applyFont="1" applyBorder="1" applyAlignment="1" applyProtection="1">
      <alignment horizontal="center"/>
    </xf>
    <xf numFmtId="0" fontId="2" fillId="3" borderId="0" xfId="0" applyFont="1" applyFill="1" applyBorder="1" applyAlignment="1" applyProtection="1">
      <alignment horizontal="center"/>
    </xf>
    <xf numFmtId="0" fontId="2" fillId="3" borderId="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 fillId="2" borderId="0" xfId="0" applyFont="1" applyFill="1" applyBorder="1" applyProtection="1"/>
    <xf numFmtId="0" fontId="2" fillId="3" borderId="7" xfId="0" applyFont="1" applyFill="1" applyBorder="1" applyAlignment="1" applyProtection="1">
      <alignment horizontal="center"/>
    </xf>
    <xf numFmtId="0" fontId="2" fillId="3" borderId="1" xfId="0" applyFont="1" applyFill="1" applyBorder="1" applyAlignment="1" applyProtection="1">
      <alignment horizontal="center"/>
    </xf>
    <xf numFmtId="0" fontId="2" fillId="3" borderId="4" xfId="0" applyFont="1" applyFill="1" applyBorder="1" applyAlignment="1" applyProtection="1">
      <alignment horizontal="center"/>
    </xf>
    <xf numFmtId="0" fontId="2" fillId="6" borderId="0" xfId="0" applyFont="1" applyFill="1" applyProtection="1"/>
    <xf numFmtId="0" fontId="0" fillId="6" borderId="0" xfId="0" applyFill="1" applyProtection="1"/>
    <xf numFmtId="0" fontId="1" fillId="6" borderId="0" xfId="0" applyFont="1" applyFill="1" applyProtection="1"/>
    <xf numFmtId="0" fontId="0" fillId="6" borderId="0" xfId="0" applyFont="1" applyFill="1" applyProtection="1"/>
    <xf numFmtId="0" fontId="1" fillId="6" borderId="0" xfId="0" applyFont="1" applyFill="1" applyAlignment="1" applyProtection="1"/>
    <xf numFmtId="0" fontId="1" fillId="2" borderId="0" xfId="0" applyFont="1" applyFill="1" applyAlignment="1" applyProtection="1"/>
    <xf numFmtId="0" fontId="1" fillId="2" borderId="1" xfId="0" applyFont="1" applyFill="1" applyBorder="1" applyAlignment="1" applyProtection="1">
      <alignment wrapText="1"/>
    </xf>
    <xf numFmtId="0" fontId="0" fillId="2" borderId="1" xfId="0" applyFill="1" applyBorder="1" applyAlignment="1" applyProtection="1">
      <alignment horizontal="center"/>
    </xf>
    <xf numFmtId="0" fontId="0" fillId="2" borderId="9" xfId="0" applyFill="1" applyBorder="1" applyAlignment="1" applyProtection="1">
      <alignment horizontal="center"/>
    </xf>
    <xf numFmtId="0" fontId="1" fillId="2" borderId="4" xfId="0" applyFont="1" applyFill="1" applyBorder="1" applyAlignment="1" applyProtection="1">
      <alignment wrapText="1"/>
    </xf>
    <xf numFmtId="0" fontId="5" fillId="2" borderId="0" xfId="0" applyFont="1" applyFill="1" applyBorder="1" applyAlignment="1" applyProtection="1">
      <alignment wrapText="1"/>
    </xf>
    <xf numFmtId="0" fontId="0" fillId="6" borderId="0" xfId="0" applyFill="1" applyBorder="1" applyProtection="1"/>
    <xf numFmtId="0" fontId="1" fillId="6" borderId="0" xfId="0" applyFont="1" applyFill="1" applyBorder="1" applyProtection="1"/>
    <xf numFmtId="0" fontId="2" fillId="2" borderId="0" xfId="0" applyFont="1" applyFill="1" applyBorder="1" applyAlignment="1" applyProtection="1"/>
    <xf numFmtId="0" fontId="1" fillId="2" borderId="0" xfId="0" applyFont="1" applyFill="1" applyBorder="1" applyAlignment="1" applyProtection="1"/>
    <xf numFmtId="2" fontId="2" fillId="13" borderId="5" xfId="0" applyNumberFormat="1" applyFont="1" applyFill="1" applyBorder="1" applyProtection="1"/>
    <xf numFmtId="1" fontId="2" fillId="14" borderId="5" xfId="0" applyNumberFormat="1" applyFont="1" applyFill="1" applyBorder="1" applyProtection="1"/>
    <xf numFmtId="0" fontId="2" fillId="15" borderId="0" xfId="0" applyFont="1" applyFill="1" applyProtection="1"/>
    <xf numFmtId="0" fontId="2" fillId="15" borderId="0" xfId="0" applyFont="1" applyFill="1" applyAlignment="1" applyProtection="1">
      <alignment horizontal="center"/>
    </xf>
    <xf numFmtId="0" fontId="0" fillId="6" borderId="0" xfId="0" applyFill="1" applyAlignment="1" applyProtection="1">
      <alignment horizontal="center"/>
    </xf>
    <xf numFmtId="0" fontId="1" fillId="6" borderId="0" xfId="0" applyFont="1" applyFill="1" applyAlignment="1" applyProtection="1">
      <alignment horizontal="center"/>
    </xf>
    <xf numFmtId="165" fontId="0" fillId="6" borderId="0" xfId="0" applyNumberFormat="1" applyFill="1" applyAlignment="1" applyProtection="1">
      <alignment horizontal="center"/>
    </xf>
    <xf numFmtId="0" fontId="2" fillId="6" borderId="0" xfId="0" applyFont="1" applyFill="1" applyAlignment="1" applyProtection="1">
      <alignment horizontal="center"/>
    </xf>
    <xf numFmtId="165" fontId="2" fillId="6" borderId="0" xfId="0" applyNumberFormat="1" applyFont="1" applyFill="1" applyAlignment="1" applyProtection="1">
      <alignment horizontal="center"/>
    </xf>
    <xf numFmtId="0" fontId="0" fillId="0" borderId="0" xfId="0" applyFont="1" applyProtection="1">
      <protection hidden="1"/>
    </xf>
    <xf numFmtId="0" fontId="9" fillId="6" borderId="0" xfId="0" applyFont="1" applyFill="1" applyBorder="1" applyProtection="1"/>
    <xf numFmtId="9" fontId="4" fillId="6" borderId="5" xfId="0" applyNumberFormat="1" applyFont="1" applyFill="1" applyBorder="1" applyAlignment="1" applyProtection="1">
      <alignment horizontal="center"/>
    </xf>
    <xf numFmtId="0" fontId="2" fillId="0" borderId="0" xfId="0" applyFont="1" applyAlignment="1" applyProtection="1">
      <alignment horizontal="center" wrapText="1"/>
      <protection hidden="1"/>
    </xf>
    <xf numFmtId="0" fontId="1" fillId="6" borderId="5" xfId="0" applyFont="1" applyFill="1" applyBorder="1" applyAlignment="1" applyProtection="1">
      <alignment vertical="center" wrapText="1"/>
    </xf>
    <xf numFmtId="0" fontId="0" fillId="0" borderId="5" xfId="0" applyBorder="1" applyAlignment="1" applyProtection="1">
      <alignment vertical="center" wrapText="1"/>
    </xf>
    <xf numFmtId="0" fontId="1" fillId="6" borderId="5" xfId="0" applyFont="1" applyFill="1" applyBorder="1" applyAlignment="1" applyProtection="1">
      <alignment wrapText="1"/>
    </xf>
    <xf numFmtId="0" fontId="0" fillId="0" borderId="5" xfId="0" applyBorder="1" applyAlignment="1" applyProtection="1">
      <alignment wrapText="1"/>
    </xf>
    <xf numFmtId="0" fontId="2" fillId="5" borderId="5" xfId="0" applyFont="1" applyFill="1" applyBorder="1" applyAlignment="1" applyProtection="1">
      <alignment wrapText="1"/>
      <protection locked="0"/>
    </xf>
    <xf numFmtId="0" fontId="0" fillId="0" borderId="5" xfId="0" applyBorder="1" applyAlignment="1" applyProtection="1">
      <alignment wrapText="1"/>
      <protection locked="0"/>
    </xf>
    <xf numFmtId="0" fontId="0" fillId="11" borderId="5" xfId="0" applyFont="1" applyFill="1" applyBorder="1" applyAlignment="1" applyProtection="1">
      <alignment wrapText="1"/>
      <protection locked="0"/>
    </xf>
    <xf numFmtId="0" fontId="2" fillId="6" borderId="4" xfId="0" applyFont="1" applyFill="1" applyBorder="1" applyAlignment="1" applyProtection="1">
      <alignment horizontal="center" vertical="center" textRotation="180" wrapText="1"/>
    </xf>
    <xf numFmtId="0" fontId="2" fillId="6" borderId="11" xfId="0" applyFont="1" applyFill="1" applyBorder="1" applyAlignment="1" applyProtection="1">
      <alignment horizontal="center" vertical="center" textRotation="180" wrapText="1"/>
    </xf>
    <xf numFmtId="0" fontId="2" fillId="6" borderId="10" xfId="0" applyFont="1" applyFill="1" applyBorder="1" applyAlignment="1" applyProtection="1">
      <alignment horizontal="center" vertical="center" textRotation="180" wrapText="1"/>
    </xf>
    <xf numFmtId="0" fontId="2" fillId="3" borderId="0" xfId="0" applyFont="1" applyFill="1" applyBorder="1" applyAlignment="1" applyProtection="1">
      <alignment vertical="center" wrapText="1"/>
    </xf>
    <xf numFmtId="0" fontId="0" fillId="0" borderId="0" xfId="0" applyAlignment="1" applyProtection="1">
      <alignment vertical="center" wrapText="1"/>
    </xf>
    <xf numFmtId="0" fontId="2" fillId="3" borderId="1" xfId="0" applyFont="1" applyFill="1" applyBorder="1" applyAlignment="1" applyProtection="1">
      <alignment vertical="center" wrapText="1"/>
    </xf>
    <xf numFmtId="0" fontId="0" fillId="0" borderId="4" xfId="0" applyBorder="1" applyAlignment="1" applyProtection="1">
      <alignment vertical="center" wrapText="1"/>
    </xf>
    <xf numFmtId="49" fontId="1" fillId="4" borderId="5" xfId="0" applyNumberFormat="1" applyFont="1" applyFill="1" applyBorder="1" applyAlignment="1" applyProtection="1">
      <alignment horizontal="left" wrapText="1"/>
      <protection locked="0"/>
    </xf>
    <xf numFmtId="49" fontId="0" fillId="4" borderId="5" xfId="0" applyNumberFormat="1" applyFill="1" applyBorder="1" applyAlignment="1" applyProtection="1">
      <alignment horizontal="left" wrapText="1"/>
      <protection locked="0"/>
    </xf>
    <xf numFmtId="0" fontId="1" fillId="3" borderId="0" xfId="0" applyFont="1" applyFill="1" applyBorder="1" applyAlignment="1" applyProtection="1">
      <alignment vertical="center" wrapText="1"/>
    </xf>
    <xf numFmtId="0" fontId="2" fillId="6" borderId="7"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0" xfId="0" applyFont="1" applyFill="1" applyAlignment="1" applyProtection="1">
      <alignment horizontal="left" vertical="top" wrapText="1"/>
    </xf>
    <xf numFmtId="0" fontId="0" fillId="0" borderId="0" xfId="0" applyAlignment="1" applyProtection="1">
      <alignment horizontal="left" vertical="top" wrapText="1"/>
    </xf>
    <xf numFmtId="0" fontId="2" fillId="6" borderId="7" xfId="0" applyFont="1" applyFill="1" applyBorder="1" applyAlignment="1" applyProtection="1">
      <alignment horizontal="center" vertical="center" textRotation="90" wrapText="1"/>
    </xf>
    <xf numFmtId="0" fontId="2" fillId="6" borderId="6" xfId="0" applyFont="1" applyFill="1" applyBorder="1" applyAlignment="1" applyProtection="1">
      <alignment horizontal="center" vertical="center" textRotation="90" wrapText="1"/>
    </xf>
    <xf numFmtId="0" fontId="2" fillId="6" borderId="8" xfId="0" applyFont="1" applyFill="1" applyBorder="1" applyAlignment="1" applyProtection="1">
      <alignment horizontal="center" vertical="center" textRotation="90" wrapText="1"/>
    </xf>
    <xf numFmtId="0" fontId="2" fillId="5" borderId="5" xfId="0" applyFont="1" applyFill="1" applyBorder="1" applyAlignment="1" applyProtection="1">
      <alignment horizontal="left" wrapText="1"/>
      <protection locked="0"/>
    </xf>
    <xf numFmtId="0" fontId="0" fillId="0" borderId="5" xfId="0" applyBorder="1" applyAlignment="1" applyProtection="1">
      <alignment horizontal="left" wrapText="1"/>
      <protection locked="0"/>
    </xf>
    <xf numFmtId="0" fontId="2" fillId="6"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0" fontId="1" fillId="6" borderId="2" xfId="0" applyFont="1" applyFill="1" applyBorder="1" applyAlignment="1" applyProtection="1">
      <alignment wrapText="1"/>
    </xf>
    <xf numFmtId="0" fontId="0" fillId="0" borderId="3" xfId="0" applyBorder="1" applyAlignment="1" applyProtection="1">
      <alignment wrapText="1"/>
    </xf>
    <xf numFmtId="0" fontId="0" fillId="0" borderId="12" xfId="0" applyBorder="1" applyAlignment="1" applyProtection="1">
      <alignment wrapText="1"/>
    </xf>
    <xf numFmtId="0" fontId="1" fillId="6" borderId="3" xfId="0" applyFont="1" applyFill="1" applyBorder="1" applyAlignment="1" applyProtection="1">
      <alignment wrapText="1"/>
    </xf>
    <xf numFmtId="0" fontId="1" fillId="6" borderId="12" xfId="0" applyFont="1" applyFill="1" applyBorder="1" applyAlignment="1" applyProtection="1">
      <alignment wrapText="1"/>
    </xf>
    <xf numFmtId="0" fontId="2" fillId="6" borderId="2" xfId="0" applyFont="1" applyFill="1" applyBorder="1" applyAlignment="1" applyProtection="1">
      <alignment wrapText="1"/>
    </xf>
    <xf numFmtId="0" fontId="0" fillId="0" borderId="3" xfId="0" applyBorder="1" applyAlignment="1">
      <alignment wrapText="1"/>
    </xf>
    <xf numFmtId="0" fontId="0" fillId="6" borderId="2" xfId="0" applyFont="1" applyFill="1" applyBorder="1" applyAlignment="1" applyProtection="1">
      <alignment wrapText="1"/>
    </xf>
    <xf numFmtId="0" fontId="2" fillId="6" borderId="5" xfId="0" applyFont="1" applyFill="1" applyBorder="1" applyAlignment="1" applyProtection="1">
      <alignment wrapText="1"/>
    </xf>
    <xf numFmtId="0" fontId="4" fillId="6" borderId="2" xfId="0" applyFont="1" applyFill="1" applyBorder="1" applyAlignment="1" applyProtection="1">
      <alignment wrapText="1"/>
    </xf>
    <xf numFmtId="0" fontId="2" fillId="15" borderId="0" xfId="0" applyFont="1" applyFill="1" applyAlignment="1" applyProtection="1">
      <alignment horizontal="center"/>
    </xf>
    <xf numFmtId="0" fontId="0" fillId="0" borderId="0" xfId="0" applyAlignment="1" applyProtection="1">
      <alignment horizontal="center"/>
    </xf>
    <xf numFmtId="165" fontId="0" fillId="6" borderId="0" xfId="0" applyNumberFormat="1" applyFill="1" applyAlignment="1" applyProtection="1">
      <alignment horizontal="center"/>
    </xf>
    <xf numFmtId="165" fontId="2" fillId="6" borderId="0" xfId="0" applyNumberFormat="1" applyFont="1" applyFill="1" applyAlignment="1" applyProtection="1">
      <alignment horizontal="center"/>
    </xf>
    <xf numFmtId="0" fontId="2" fillId="0" borderId="0" xfId="0" applyFont="1" applyAlignment="1" applyProtection="1">
      <alignment horizontal="center"/>
    </xf>
    <xf numFmtId="0" fontId="7" fillId="15" borderId="0" xfId="0" applyFont="1" applyFill="1" applyAlignment="1" applyProtection="1">
      <alignment horizontal="center" wrapText="1"/>
    </xf>
    <xf numFmtId="0" fontId="8" fillId="0" borderId="0" xfId="0" applyFont="1" applyAlignment="1">
      <alignment horizontal="center" wrapText="1"/>
    </xf>
    <xf numFmtId="0" fontId="7" fillId="6" borderId="5" xfId="0" applyFont="1" applyFill="1" applyBorder="1" applyAlignment="1" applyProtection="1">
      <alignment horizontal="center" wrapText="1"/>
    </xf>
    <xf numFmtId="0" fontId="8" fillId="0" borderId="5" xfId="0" applyFont="1" applyBorder="1" applyAlignment="1">
      <alignment horizontal="center" wrapText="1"/>
    </xf>
    <xf numFmtId="1" fontId="0" fillId="6" borderId="0" xfId="0" applyNumberFormat="1" applyFill="1" applyAlignment="1" applyProtection="1">
      <alignment horizontal="center"/>
    </xf>
    <xf numFmtId="1" fontId="0" fillId="0" borderId="0" xfId="0" applyNumberFormat="1" applyAlignment="1" applyProtection="1">
      <alignment horizontal="center"/>
    </xf>
    <xf numFmtId="1" fontId="2" fillId="6" borderId="0" xfId="0" applyNumberFormat="1" applyFont="1" applyFill="1" applyAlignment="1" applyProtection="1">
      <alignment horizontal="center"/>
    </xf>
    <xf numFmtId="1" fontId="2" fillId="0" borderId="0" xfId="0" applyNumberFormat="1" applyFont="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13</xdr:row>
      <xdr:rowOff>0</xdr:rowOff>
    </xdr:from>
    <xdr:to>
      <xdr:col>22</xdr:col>
      <xdr:colOff>523875</xdr:colOff>
      <xdr:row>16</xdr:row>
      <xdr:rowOff>9525</xdr:rowOff>
    </xdr:to>
    <xdr:pic>
      <xdr:nvPicPr>
        <xdr:cNvPr id="2" name="Picture 10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91625" y="2133600"/>
          <a:ext cx="1743075" cy="175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100853</xdr:colOff>
      <xdr:row>2</xdr:row>
      <xdr:rowOff>18348</xdr:rowOff>
    </xdr:from>
    <xdr:to>
      <xdr:col>2</xdr:col>
      <xdr:colOff>582706</xdr:colOff>
      <xdr:row>3</xdr:row>
      <xdr:rowOff>84141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53" y="456498"/>
          <a:ext cx="1234328" cy="265818"/>
        </a:xfrm>
        <a:prstGeom prst="rect">
          <a:avLst/>
        </a:prstGeom>
      </xdr:spPr>
    </xdr:pic>
    <xdr:clientData/>
  </xdr:twoCellAnchor>
  <xdr:twoCellAnchor editAs="oneCell">
    <xdr:from>
      <xdr:col>0</xdr:col>
      <xdr:colOff>100110</xdr:colOff>
      <xdr:row>0</xdr:row>
      <xdr:rowOff>161924</xdr:rowOff>
    </xdr:from>
    <xdr:to>
      <xdr:col>2</xdr:col>
      <xdr:colOff>582706</xdr:colOff>
      <xdr:row>2</xdr:row>
      <xdr:rowOff>19049</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110" y="161924"/>
          <a:ext cx="1235071" cy="295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39/3390000/Electronic%20Library/1%20Road%20Safety/2%20Safety%20Tools/CPM%20Toolkits/Urban%20APM%20Toolkit%20v3%20(unprotec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ycle Count"/>
      <sheetName val="CYCProfiles"/>
      <sheetName val="Ped Count"/>
      <sheetName val="PEDProfiles"/>
      <sheetName val="Sig Crossroad"/>
      <sheetName val="4-Arm Roundabout"/>
      <sheetName val="Priority Crossroad"/>
      <sheetName val="Sig T-Junction"/>
      <sheetName val="Priority T-Junction"/>
      <sheetName val="Un-controlled  T-Junction"/>
      <sheetName val="Midblock"/>
      <sheetName val="Product of Links"/>
      <sheetName val="Sig Crossroad (detail)"/>
    </sheetNames>
    <sheetDataSet>
      <sheetData sheetId="0" refreshError="1"/>
      <sheetData sheetId="1">
        <row r="20">
          <cell r="J20">
            <v>14.31779379751908</v>
          </cell>
        </row>
        <row r="21">
          <cell r="J21">
            <v>71.588968987595408</v>
          </cell>
        </row>
        <row r="22">
          <cell r="J22">
            <v>71.588968987595408</v>
          </cell>
        </row>
        <row r="23">
          <cell r="J23">
            <v>100.22455658263358</v>
          </cell>
        </row>
        <row r="24">
          <cell r="J24">
            <v>71.588968987595408</v>
          </cell>
        </row>
        <row r="25">
          <cell r="J25">
            <v>57.27117519007632</v>
          </cell>
        </row>
        <row r="26">
          <cell r="J26">
            <v>171.81352557022899</v>
          </cell>
        </row>
        <row r="27">
          <cell r="J27">
            <v>57.27117519007632</v>
          </cell>
        </row>
        <row r="28">
          <cell r="J28">
            <v>57.27117519007632</v>
          </cell>
        </row>
        <row r="29">
          <cell r="J29">
            <v>100.22455658263358</v>
          </cell>
        </row>
        <row r="30">
          <cell r="J30">
            <v>114.54235038015264</v>
          </cell>
        </row>
        <row r="31">
          <cell r="J31">
            <v>42.953381392557247</v>
          </cell>
        </row>
      </sheetData>
      <sheetData sheetId="2" refreshError="1"/>
      <sheetData sheetId="3">
        <row r="20">
          <cell r="J20">
            <v>8.6079571847797354</v>
          </cell>
        </row>
        <row r="22">
          <cell r="J22">
            <v>43.03978592389867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DD114"/>
  <sheetViews>
    <sheetView tabSelected="1" topLeftCell="A41" zoomScaleNormal="100" zoomScaleSheetLayoutView="55" zoomScalePageLayoutView="55" workbookViewId="0">
      <selection activeCell="J56" sqref="J56"/>
    </sheetView>
  </sheetViews>
  <sheetFormatPr defaultRowHeight="12.75" x14ac:dyDescent="0.2"/>
  <cols>
    <col min="1" max="1" width="2.140625" style="3" customWidth="1"/>
    <col min="2" max="6" width="9.140625" style="3" customWidth="1"/>
    <col min="7" max="10" width="10.85546875" style="3" customWidth="1"/>
    <col min="11" max="13" width="3.5703125" style="2" customWidth="1"/>
    <col min="14" max="14" width="4.140625" style="2" customWidth="1"/>
    <col min="15" max="15" width="9.140625" style="2" customWidth="1"/>
    <col min="16" max="16" width="1.42578125" style="2" customWidth="1"/>
    <col min="17" max="17" width="9.140625" style="2" customWidth="1"/>
    <col min="18" max="18" width="2.5703125" style="2" customWidth="1"/>
    <col min="19" max="19" width="9.140625" style="2" customWidth="1"/>
    <col min="20" max="20" width="1.42578125" style="2" customWidth="1"/>
    <col min="21" max="23" width="9.140625" style="2" customWidth="1"/>
    <col min="24" max="24" width="1.42578125" style="2" customWidth="1"/>
    <col min="25" max="25" width="9.140625" style="2" customWidth="1"/>
    <col min="26" max="26" width="1.42578125" style="2" customWidth="1"/>
    <col min="27" max="27" width="9.140625" style="2" customWidth="1"/>
    <col min="28" max="28" width="1.42578125" style="2" customWidth="1"/>
    <col min="29" max="29" width="9.140625" style="2" customWidth="1"/>
    <col min="30" max="31" width="4.140625" style="2" customWidth="1"/>
    <col min="32" max="32" width="3.140625" style="2" customWidth="1"/>
    <col min="33" max="37" width="9.140625" style="2" hidden="1" customWidth="1"/>
    <col min="38" max="50" width="9.140625" style="3" hidden="1" customWidth="1"/>
    <col min="51" max="51" width="10.28515625" style="3" hidden="1" customWidth="1"/>
    <col min="52" max="57" width="9.140625" style="3" hidden="1" customWidth="1"/>
    <col min="58" max="58" width="10.28515625" style="3" hidden="1" customWidth="1"/>
    <col min="59" max="108" width="9.140625" style="3" hidden="1" customWidth="1"/>
    <col min="109" max="110" width="0" style="3" hidden="1" customWidth="1"/>
    <col min="111" max="16384" width="9.140625" style="3"/>
  </cols>
  <sheetData>
    <row r="1" spans="1:107" ht="12.75" customHeight="1" x14ac:dyDescent="0.2">
      <c r="A1" s="45"/>
      <c r="B1" s="45"/>
      <c r="C1" s="64"/>
      <c r="D1" s="64"/>
      <c r="E1" s="64"/>
      <c r="F1" s="64"/>
      <c r="G1" s="64"/>
      <c r="H1" s="64"/>
      <c r="I1" s="64"/>
      <c r="J1" s="64"/>
      <c r="K1" s="65"/>
      <c r="L1" s="65"/>
      <c r="M1" s="65"/>
      <c r="N1" s="45"/>
      <c r="O1" s="45"/>
      <c r="P1" s="45"/>
      <c r="Q1" s="45"/>
      <c r="R1" s="45"/>
      <c r="S1" s="45"/>
      <c r="T1" s="45"/>
      <c r="U1" s="45"/>
      <c r="V1" s="45"/>
      <c r="W1" s="45"/>
      <c r="X1" s="45"/>
      <c r="Y1" s="45"/>
      <c r="Z1" s="45"/>
      <c r="AA1" s="65"/>
      <c r="AB1" s="65"/>
      <c r="AC1" s="65"/>
      <c r="AD1" s="65"/>
      <c r="AE1" s="65"/>
      <c r="AF1" s="65"/>
      <c r="AG1" s="1"/>
      <c r="AH1" s="1"/>
      <c r="AI1" s="1"/>
      <c r="AJ1" s="1"/>
      <c r="AK1" s="1"/>
      <c r="AL1" s="2" t="s">
        <v>0</v>
      </c>
      <c r="AP1" s="4" t="s">
        <v>1</v>
      </c>
      <c r="AY1" s="116" t="s">
        <v>2</v>
      </c>
      <c r="AZ1" s="116"/>
      <c r="BA1" s="116"/>
      <c r="BB1" s="116"/>
      <c r="BC1" s="116"/>
      <c r="BD1" s="116"/>
      <c r="BE1" s="116"/>
      <c r="BF1" s="116" t="s">
        <v>3</v>
      </c>
      <c r="BG1" s="116"/>
      <c r="BH1" s="116" t="s">
        <v>1</v>
      </c>
      <c r="BI1" s="116"/>
      <c r="BJ1" s="116"/>
      <c r="BN1" s="116" t="s">
        <v>2</v>
      </c>
      <c r="BO1" s="116"/>
      <c r="BP1" s="116"/>
      <c r="BQ1" s="116"/>
      <c r="BR1" s="116"/>
      <c r="BS1" s="116"/>
      <c r="BT1" s="116"/>
      <c r="BU1" s="116" t="s">
        <v>3</v>
      </c>
      <c r="BV1" s="116"/>
      <c r="BW1" s="116" t="s">
        <v>1</v>
      </c>
      <c r="BX1" s="116"/>
      <c r="BY1" s="116"/>
      <c r="CC1" s="116" t="s">
        <v>2</v>
      </c>
      <c r="CD1" s="116"/>
      <c r="CE1" s="116"/>
      <c r="CF1" s="116"/>
      <c r="CG1" s="116"/>
      <c r="CH1" s="116"/>
      <c r="CI1" s="116"/>
      <c r="CJ1" s="116" t="s">
        <v>3</v>
      </c>
      <c r="CK1" s="116"/>
      <c r="CL1" s="116" t="s">
        <v>1</v>
      </c>
      <c r="CM1" s="116"/>
      <c r="CN1" s="116"/>
      <c r="CR1" s="116" t="s">
        <v>2</v>
      </c>
      <c r="CS1" s="116"/>
      <c r="CT1" s="116"/>
      <c r="CU1" s="116"/>
      <c r="CV1" s="116"/>
      <c r="CW1" s="116"/>
      <c r="CX1" s="116"/>
      <c r="CY1" s="116" t="s">
        <v>3</v>
      </c>
      <c r="CZ1" s="116"/>
      <c r="DA1" s="116" t="s">
        <v>1</v>
      </c>
      <c r="DB1" s="116"/>
      <c r="DC1" s="116"/>
    </row>
    <row r="2" spans="1:107" ht="21.75" customHeight="1" x14ac:dyDescent="0.2">
      <c r="A2" s="45"/>
      <c r="B2" s="45"/>
      <c r="C2" s="66"/>
      <c r="D2" s="67" t="s">
        <v>4</v>
      </c>
      <c r="E2" s="68"/>
      <c r="F2" s="68"/>
      <c r="G2" s="68"/>
      <c r="H2" s="68"/>
      <c r="I2" s="68"/>
      <c r="J2" s="68"/>
      <c r="K2" s="65"/>
      <c r="L2" s="65"/>
      <c r="M2" s="127" t="s">
        <v>5</v>
      </c>
      <c r="N2" s="128"/>
      <c r="O2" s="128"/>
      <c r="P2" s="128"/>
      <c r="Q2" s="128"/>
      <c r="R2" s="128"/>
      <c r="S2" s="128"/>
      <c r="T2" s="128"/>
      <c r="U2" s="128"/>
      <c r="V2" s="128"/>
      <c r="W2" s="128"/>
      <c r="X2" s="42"/>
      <c r="Y2" s="42"/>
      <c r="Z2" s="42"/>
      <c r="AA2" s="65"/>
      <c r="AB2" s="65"/>
      <c r="AC2" s="65"/>
      <c r="AD2" s="65"/>
      <c r="AE2" s="65"/>
      <c r="AF2" s="65"/>
      <c r="AG2" s="1"/>
      <c r="AH2" s="1"/>
      <c r="AI2" s="1"/>
      <c r="AJ2" s="1"/>
      <c r="AK2" s="1"/>
      <c r="AL2" s="2" t="s">
        <v>6</v>
      </c>
      <c r="AM2" s="3">
        <v>0</v>
      </c>
      <c r="AP2" s="2"/>
      <c r="AQ2" s="5" t="s">
        <v>7</v>
      </c>
      <c r="AR2" s="5" t="s">
        <v>8</v>
      </c>
      <c r="AS2" s="5" t="s">
        <v>9</v>
      </c>
      <c r="AX2" s="6" t="s">
        <v>10</v>
      </c>
      <c r="AY2" s="7"/>
      <c r="BA2" s="2" t="s">
        <v>11</v>
      </c>
      <c r="BB2" s="2" t="s">
        <v>11</v>
      </c>
      <c r="BC2" s="2" t="s">
        <v>11</v>
      </c>
      <c r="BM2" s="6" t="s">
        <v>12</v>
      </c>
      <c r="BN2" s="7"/>
      <c r="BP2" s="2" t="s">
        <v>11</v>
      </c>
      <c r="BQ2" s="2" t="s">
        <v>11</v>
      </c>
      <c r="BR2" s="2" t="s">
        <v>11</v>
      </c>
      <c r="CB2" s="6" t="s">
        <v>13</v>
      </c>
      <c r="CC2" s="7"/>
      <c r="CE2" s="2" t="s">
        <v>11</v>
      </c>
      <c r="CF2" s="2" t="s">
        <v>11</v>
      </c>
      <c r="CG2" s="2" t="s">
        <v>11</v>
      </c>
      <c r="CQ2" s="6" t="s">
        <v>14</v>
      </c>
      <c r="CR2" s="7"/>
      <c r="CT2" s="2" t="s">
        <v>11</v>
      </c>
      <c r="CU2" s="2" t="s">
        <v>11</v>
      </c>
      <c r="CV2" s="2" t="s">
        <v>11</v>
      </c>
    </row>
    <row r="3" spans="1:107" ht="15.75" x14ac:dyDescent="0.25">
      <c r="A3" s="45"/>
      <c r="B3" s="69"/>
      <c r="C3" s="69"/>
      <c r="D3" s="129" t="s">
        <v>15</v>
      </c>
      <c r="E3" s="130"/>
      <c r="F3" s="131"/>
      <c r="G3" s="132"/>
      <c r="H3" s="132"/>
      <c r="I3" s="132"/>
      <c r="J3" s="132"/>
      <c r="K3" s="65"/>
      <c r="L3" s="65"/>
      <c r="M3" s="133" t="s">
        <v>16</v>
      </c>
      <c r="N3" s="128"/>
      <c r="O3" s="128"/>
      <c r="P3" s="128"/>
      <c r="Q3" s="128"/>
      <c r="R3" s="128"/>
      <c r="S3" s="128"/>
      <c r="T3" s="128"/>
      <c r="U3" s="128"/>
      <c r="V3" s="128"/>
      <c r="W3" s="128"/>
      <c r="X3" s="43"/>
      <c r="Y3" s="43"/>
      <c r="Z3" s="43"/>
      <c r="AA3" s="65"/>
      <c r="AB3" s="65"/>
      <c r="AC3" s="65"/>
      <c r="AD3" s="65"/>
      <c r="AE3" s="65"/>
      <c r="AF3" s="65"/>
      <c r="AG3" s="1"/>
      <c r="AH3" s="1"/>
      <c r="AI3" s="1"/>
      <c r="AJ3" s="1"/>
      <c r="AK3" s="1"/>
      <c r="AL3" s="8" t="s">
        <v>17</v>
      </c>
      <c r="AM3" s="9">
        <v>1</v>
      </c>
      <c r="AP3" s="5" t="s">
        <v>18</v>
      </c>
      <c r="AQ3" s="10">
        <v>7.4899999999999999E-4</v>
      </c>
      <c r="AR3" s="11">
        <v>0.28699999999999998</v>
      </c>
      <c r="AS3" s="11">
        <v>9.0999999999999998E-2</v>
      </c>
      <c r="AX3" s="12"/>
      <c r="AY3" s="12" t="s">
        <v>19</v>
      </c>
      <c r="AZ3" s="2" t="s">
        <v>20</v>
      </c>
      <c r="BA3" s="13" t="s">
        <v>21</v>
      </c>
      <c r="BB3" s="13" t="s">
        <v>22</v>
      </c>
      <c r="BC3" s="13" t="s">
        <v>23</v>
      </c>
      <c r="BD3" s="2" t="s">
        <v>24</v>
      </c>
      <c r="BE3" s="2" t="s">
        <v>25</v>
      </c>
      <c r="BF3" s="2" t="s">
        <v>26</v>
      </c>
      <c r="BG3" s="2" t="s">
        <v>27</v>
      </c>
      <c r="BH3" s="2" t="s">
        <v>28</v>
      </c>
      <c r="BI3" s="2" t="s">
        <v>20</v>
      </c>
      <c r="BJ3" s="2" t="s">
        <v>25</v>
      </c>
      <c r="BM3" s="12"/>
      <c r="BN3" s="12" t="s">
        <v>19</v>
      </c>
      <c r="BO3" s="2" t="s">
        <v>20</v>
      </c>
      <c r="BP3" s="13" t="s">
        <v>21</v>
      </c>
      <c r="BQ3" s="13" t="s">
        <v>22</v>
      </c>
      <c r="BR3" s="13" t="s">
        <v>23</v>
      </c>
      <c r="BS3" s="2" t="s">
        <v>24</v>
      </c>
      <c r="BT3" s="2" t="s">
        <v>25</v>
      </c>
      <c r="BU3" s="2" t="s">
        <v>26</v>
      </c>
      <c r="BV3" s="2" t="s">
        <v>27</v>
      </c>
      <c r="BW3" s="2" t="s">
        <v>28</v>
      </c>
      <c r="BX3" s="2" t="s">
        <v>20</v>
      </c>
      <c r="BY3" s="2" t="s">
        <v>25</v>
      </c>
      <c r="CB3" s="12"/>
      <c r="CC3" s="12" t="s">
        <v>19</v>
      </c>
      <c r="CD3" s="2" t="s">
        <v>20</v>
      </c>
      <c r="CE3" s="13" t="s">
        <v>21</v>
      </c>
      <c r="CF3" s="13" t="s">
        <v>22</v>
      </c>
      <c r="CG3" s="13" t="s">
        <v>23</v>
      </c>
      <c r="CH3" s="2" t="s">
        <v>24</v>
      </c>
      <c r="CI3" s="2" t="s">
        <v>25</v>
      </c>
      <c r="CJ3" s="2" t="s">
        <v>26</v>
      </c>
      <c r="CK3" s="2" t="s">
        <v>27</v>
      </c>
      <c r="CL3" s="2" t="s">
        <v>28</v>
      </c>
      <c r="CM3" s="2" t="s">
        <v>20</v>
      </c>
      <c r="CN3" s="2" t="s">
        <v>25</v>
      </c>
      <c r="CQ3" s="12"/>
      <c r="CR3" s="12" t="s">
        <v>19</v>
      </c>
      <c r="CS3" s="2" t="s">
        <v>20</v>
      </c>
      <c r="CT3" s="13" t="s">
        <v>21</v>
      </c>
      <c r="CU3" s="13" t="s">
        <v>22</v>
      </c>
      <c r="CV3" s="13" t="s">
        <v>23</v>
      </c>
      <c r="CW3" s="2" t="s">
        <v>24</v>
      </c>
      <c r="CX3" s="2" t="s">
        <v>25</v>
      </c>
      <c r="CY3" s="2" t="s">
        <v>26</v>
      </c>
      <c r="CZ3" s="2" t="s">
        <v>27</v>
      </c>
      <c r="DA3" s="2" t="s">
        <v>28</v>
      </c>
      <c r="DB3" s="2" t="s">
        <v>20</v>
      </c>
      <c r="DC3" s="2" t="s">
        <v>25</v>
      </c>
    </row>
    <row r="4" spans="1:107" ht="15.75" x14ac:dyDescent="0.25">
      <c r="A4" s="45"/>
      <c r="B4" s="69"/>
      <c r="C4" s="69"/>
      <c r="D4" s="129" t="s">
        <v>29</v>
      </c>
      <c r="E4" s="130"/>
      <c r="F4" s="131"/>
      <c r="G4" s="132"/>
      <c r="H4" s="132"/>
      <c r="I4" s="132"/>
      <c r="J4" s="132"/>
      <c r="K4" s="65"/>
      <c r="L4" s="65"/>
      <c r="M4" s="128"/>
      <c r="N4" s="128"/>
      <c r="O4" s="128"/>
      <c r="P4" s="128"/>
      <c r="Q4" s="128"/>
      <c r="R4" s="128"/>
      <c r="S4" s="128"/>
      <c r="T4" s="128"/>
      <c r="U4" s="128"/>
      <c r="V4" s="128"/>
      <c r="W4" s="128"/>
      <c r="X4" s="43"/>
      <c r="Y4" s="43"/>
      <c r="Z4" s="43"/>
      <c r="AA4" s="65"/>
      <c r="AB4" s="65"/>
      <c r="AC4" s="65"/>
      <c r="AD4" s="65"/>
      <c r="AE4" s="65"/>
      <c r="AF4" s="65"/>
      <c r="AG4" s="1"/>
      <c r="AH4" s="1"/>
      <c r="AI4" s="1"/>
      <c r="AJ4" s="1"/>
      <c r="AK4" s="1"/>
      <c r="AL4" s="8" t="s">
        <v>30</v>
      </c>
      <c r="AM4" s="9">
        <v>2</v>
      </c>
      <c r="AP4" s="14" t="s">
        <v>31</v>
      </c>
      <c r="AQ4" s="15">
        <v>4.4100000000000001E-5</v>
      </c>
      <c r="AR4" s="16">
        <v>0.34</v>
      </c>
      <c r="AS4" s="16">
        <v>0.19800000000000001</v>
      </c>
      <c r="AX4" s="2" t="s">
        <v>32</v>
      </c>
      <c r="AY4" s="17">
        <f>VLOOKUP($D$25,$AL$17:$AU$22,2,FALSE)</f>
        <v>1.736E-5</v>
      </c>
      <c r="AZ4" s="17">
        <f>VLOOKUP($D$25,$AL$17:$AU$22,3,FALSE)</f>
        <v>0.88200000000000001</v>
      </c>
      <c r="BA4" s="17">
        <f>VLOOKUP($D$25,$AL$17:$AU$22,4,FALSE)</f>
        <v>0.86799999999999999</v>
      </c>
      <c r="BB4" s="17">
        <f>VLOOKUP($D$25,$AL$17:$AU$22,5,FALSE)</f>
        <v>2.2399999999999997E-4</v>
      </c>
      <c r="BC4" s="17">
        <f>VLOOKUP($D$25,$AL$17:$AU$22,6,FALSE)</f>
        <v>0.15479999999999999</v>
      </c>
      <c r="BD4" s="17">
        <f>VLOOKUP($D$25,$AL$17:$AU$22,7,FALSE)</f>
        <v>1.8239999999999999E-2</v>
      </c>
      <c r="BE4" s="17">
        <f>VLOOKUP($D$25,$AL$17:$AU$22,8,FALSE)</f>
        <v>4.64E-4</v>
      </c>
      <c r="BF4" s="17">
        <f>VLOOKUP($D$25,$AL$17:$AU$22,9,FALSE)</f>
        <v>1.06E-5</v>
      </c>
      <c r="BG4" s="17">
        <f>VLOOKUP($D$25,$AL$17:$AU$22,10,FALSE)</f>
        <v>2.18E-2</v>
      </c>
      <c r="BH4" s="18"/>
      <c r="BI4" s="18"/>
      <c r="BM4" s="2" t="s">
        <v>32</v>
      </c>
      <c r="BN4" s="17">
        <f>VLOOKUP($D$25,$AL$17:$AU$22,2,FALSE)</f>
        <v>1.736E-5</v>
      </c>
      <c r="BO4" s="17">
        <f>VLOOKUP($D$25,$AL$17:$AU$22,3,FALSE)</f>
        <v>0.88200000000000001</v>
      </c>
      <c r="BP4" s="17">
        <f>VLOOKUP($D$25,$AL$17:$AU$22,4,FALSE)</f>
        <v>0.86799999999999999</v>
      </c>
      <c r="BQ4" s="17">
        <f>VLOOKUP($D$25,$AL$17:$AU$22,5,FALSE)</f>
        <v>2.2399999999999997E-4</v>
      </c>
      <c r="BR4" s="17">
        <f>VLOOKUP($D$25,$AL$17:$AU$22,6,FALSE)</f>
        <v>0.15479999999999999</v>
      </c>
      <c r="BS4" s="17">
        <f>VLOOKUP($D$25,$AL$17:$AU$22,7,FALSE)</f>
        <v>1.8239999999999999E-2</v>
      </c>
      <c r="BT4" s="17">
        <f>VLOOKUP($D$25,$AL$17:$AU$22,8,FALSE)</f>
        <v>4.64E-4</v>
      </c>
      <c r="BU4" s="17">
        <f>VLOOKUP($D$25,$AL$17:$AU$22,9,FALSE)</f>
        <v>1.06E-5</v>
      </c>
      <c r="BV4" s="17">
        <f>VLOOKUP($D$25,$AL$17:$AU$22,10,FALSE)</f>
        <v>2.18E-2</v>
      </c>
      <c r="BW4" s="18"/>
      <c r="BX4" s="18"/>
      <c r="CB4" s="2" t="s">
        <v>32</v>
      </c>
      <c r="CC4" s="17">
        <f>VLOOKUP($D$25,$AL$17:$AU$22,2,FALSE)</f>
        <v>1.736E-5</v>
      </c>
      <c r="CD4" s="17">
        <f>VLOOKUP($D$25,$AL$17:$AU$22,3,FALSE)</f>
        <v>0.88200000000000001</v>
      </c>
      <c r="CE4" s="17">
        <f>VLOOKUP($D$25,$AL$17:$AU$22,4,FALSE)</f>
        <v>0.86799999999999999</v>
      </c>
      <c r="CF4" s="17">
        <f>VLOOKUP($D$25,$AL$17:$AU$22,5,FALSE)</f>
        <v>2.2399999999999997E-4</v>
      </c>
      <c r="CG4" s="17">
        <f>VLOOKUP($D$25,$AL$17:$AU$22,6,FALSE)</f>
        <v>0.15479999999999999</v>
      </c>
      <c r="CH4" s="17">
        <f>VLOOKUP($D$25,$AL$17:$AU$22,7,FALSE)</f>
        <v>1.8239999999999999E-2</v>
      </c>
      <c r="CI4" s="17">
        <f>VLOOKUP($D$25,$AL$17:$AU$22,8,FALSE)</f>
        <v>4.64E-4</v>
      </c>
      <c r="CJ4" s="17">
        <f>VLOOKUP($D$25,$AL$17:$AU$22,9,FALSE)</f>
        <v>1.06E-5</v>
      </c>
      <c r="CK4" s="17">
        <f>VLOOKUP($D$25,$AL$17:$AU$22,10,FALSE)</f>
        <v>2.18E-2</v>
      </c>
      <c r="CL4" s="18"/>
      <c r="CM4" s="18"/>
      <c r="CQ4" s="2" t="s">
        <v>32</v>
      </c>
      <c r="CR4" s="17">
        <f>VLOOKUP($D$25,$AL$17:$AU$22,2,FALSE)</f>
        <v>1.736E-5</v>
      </c>
      <c r="CS4" s="17">
        <f>VLOOKUP($D$25,$AL$17:$AU$22,3,FALSE)</f>
        <v>0.88200000000000001</v>
      </c>
      <c r="CT4" s="17">
        <f>VLOOKUP($D$25,$AL$17:$AU$22,4,FALSE)</f>
        <v>0.86799999999999999</v>
      </c>
      <c r="CU4" s="17">
        <f>VLOOKUP($D$25,$AL$17:$AU$22,5,FALSE)</f>
        <v>2.2399999999999997E-4</v>
      </c>
      <c r="CV4" s="17">
        <f>VLOOKUP($D$25,$AL$17:$AU$22,6,FALSE)</f>
        <v>0.15479999999999999</v>
      </c>
      <c r="CW4" s="17">
        <f>VLOOKUP($D$25,$AL$17:$AU$22,7,FALSE)</f>
        <v>1.8239999999999999E-2</v>
      </c>
      <c r="CX4" s="17">
        <f>VLOOKUP($D$25,$AL$17:$AU$22,8,FALSE)</f>
        <v>4.64E-4</v>
      </c>
      <c r="CY4" s="17">
        <f>VLOOKUP($D$25,$AL$17:$AU$22,9,FALSE)</f>
        <v>1.06E-5</v>
      </c>
      <c r="CZ4" s="17">
        <f>VLOOKUP($D$25,$AL$17:$AU$22,10,FALSE)</f>
        <v>2.18E-2</v>
      </c>
      <c r="DA4" s="18"/>
      <c r="DB4" s="18"/>
    </row>
    <row r="5" spans="1:107" ht="15.75" customHeight="1" x14ac:dyDescent="0.2">
      <c r="A5" s="45"/>
      <c r="B5" s="45"/>
      <c r="C5" s="45"/>
      <c r="D5" s="129" t="s">
        <v>33</v>
      </c>
      <c r="E5" s="130"/>
      <c r="F5" s="132" t="s">
        <v>159</v>
      </c>
      <c r="G5" s="132"/>
      <c r="H5" s="132"/>
      <c r="I5" s="132"/>
      <c r="J5" s="132"/>
      <c r="K5" s="65"/>
      <c r="L5" s="65"/>
      <c r="M5" s="65"/>
      <c r="N5" s="65"/>
      <c r="O5" s="65"/>
      <c r="P5" s="65"/>
      <c r="Q5" s="65"/>
      <c r="R5" s="65"/>
      <c r="S5" s="65"/>
      <c r="T5" s="65"/>
      <c r="U5" s="65"/>
      <c r="V5" s="65"/>
      <c r="W5" s="65"/>
      <c r="X5" s="65"/>
      <c r="Y5" s="65"/>
      <c r="Z5" s="65"/>
      <c r="AA5" s="65"/>
      <c r="AB5" s="65"/>
      <c r="AC5" s="65"/>
      <c r="AD5" s="65"/>
      <c r="AE5" s="65"/>
      <c r="AF5" s="65"/>
      <c r="AG5" s="1"/>
      <c r="AH5" s="1"/>
      <c r="AI5" s="1"/>
      <c r="AJ5" s="1"/>
      <c r="AK5" s="1"/>
      <c r="AL5" s="8" t="s">
        <v>34</v>
      </c>
      <c r="AM5" s="9">
        <v>3</v>
      </c>
      <c r="AP5" s="5" t="s">
        <v>25</v>
      </c>
      <c r="AQ5" s="2">
        <v>0.74</v>
      </c>
      <c r="AR5" s="2"/>
      <c r="AS5" s="2"/>
      <c r="AX5" s="2" t="s">
        <v>35</v>
      </c>
      <c r="AY5" s="19">
        <f>$V$10^0.311</f>
        <v>21.70106190200497</v>
      </c>
      <c r="AZ5" s="19">
        <f>$W$20^0.155</f>
        <v>3.2792332231266736</v>
      </c>
      <c r="BA5" s="19">
        <f>($U$10+$V$10+$W$10)^0.447</f>
        <v>85.431018956769961</v>
      </c>
      <c r="BB5" s="19">
        <f>($U$10+$V$10+$W$10)^0.496</f>
        <v>139.11010612242293</v>
      </c>
      <c r="BC5" s="19">
        <f>($U$10+$V$10+$W$10)^0.356</f>
        <v>34.544460050224657</v>
      </c>
      <c r="BD5" s="19">
        <f>($U$10+$V$10+$W$10)^0.541</f>
        <v>217.67904671156222</v>
      </c>
      <c r="BE5" s="19">
        <f>($U$10+$V$10+$W$10)^0.262</f>
        <v>13.557429922562104</v>
      </c>
      <c r="BF5" s="19">
        <f>($U$10+$V$10+$W$10)^0.314</f>
        <v>22.744915455418461</v>
      </c>
      <c r="BG5" s="19">
        <f>$U$10^0.093</f>
        <v>1.8652526153843427</v>
      </c>
      <c r="BM5" s="2" t="s">
        <v>35</v>
      </c>
      <c r="BN5" s="19">
        <f>$AA$15^0.311</f>
        <v>13.850814642329254</v>
      </c>
      <c r="BO5" s="19">
        <f>$Q$16^0.155</f>
        <v>2.2644115674837417</v>
      </c>
      <c r="BP5" s="19">
        <f>($AA$14+$AA$15+$AA$16)^0.447</f>
        <v>58.298943730750821</v>
      </c>
      <c r="BQ5" s="19">
        <f>($AA$14+$AA$15+$AA$16)^0.496</f>
        <v>91.0357255020363</v>
      </c>
      <c r="BR5" s="19">
        <f>($AA$14+$AA$15+$AA$16)^0.356</f>
        <v>25.480533142130703</v>
      </c>
      <c r="BS5" s="19">
        <f>($AA$14+$AA$15+$AA$16)^0.541</f>
        <v>137.07647678609894</v>
      </c>
      <c r="BT5" s="19">
        <f>($AA$14+$AA$15+$AA$16)^0.262</f>
        <v>10.8369298855021</v>
      </c>
      <c r="BU5" s="19">
        <f>($AA$14+$AA$15+$AA$16)^0.314</f>
        <v>17.390317321196235</v>
      </c>
      <c r="BV5" s="19">
        <f>$AA$14^0.093</f>
        <v>1.8924012933815482</v>
      </c>
      <c r="CB5" s="2" t="s">
        <v>35</v>
      </c>
      <c r="CC5" s="19">
        <f>$V$20^0.311</f>
        <v>21.791506444243812</v>
      </c>
      <c r="CD5" s="19">
        <f>$U$10^0.155</f>
        <v>2.8263726984914825</v>
      </c>
      <c r="CE5" s="19">
        <f>(SUM(U20:W20))^0.447</f>
        <v>88.859178397634693</v>
      </c>
      <c r="CF5" s="19">
        <f>(SUM(U20:W20))^0.496</f>
        <v>145.31767087528388</v>
      </c>
      <c r="CG5" s="19">
        <f>(SUM(U20:W20))^0.356</f>
        <v>35.644014689146253</v>
      </c>
      <c r="CH5" s="19">
        <f>(SUM(U20:W20))^0.541</f>
        <v>228.2950587604582</v>
      </c>
      <c r="CI5" s="19">
        <f>(SUM(U20:W20))^0.262</f>
        <v>13.873703080862967</v>
      </c>
      <c r="CJ5" s="19">
        <f>(SUM(U20:W20))^0.314</f>
        <v>23.382291456813103</v>
      </c>
      <c r="CK5" s="19">
        <f>$W$20^0.093</f>
        <v>2.0392167192615602</v>
      </c>
      <c r="CQ5" s="2" t="s">
        <v>35</v>
      </c>
      <c r="CR5" s="19">
        <f>$Q$15^0.311</f>
        <v>11.601856567226486</v>
      </c>
      <c r="CS5" s="19">
        <f>$AA$14^0.155</f>
        <v>2.8952677111968521</v>
      </c>
      <c r="CT5" s="19">
        <f>(SUM(Q14:Q16))^0.447</f>
        <v>38.324457900776729</v>
      </c>
      <c r="CU5" s="19">
        <f>(SUM(Q14:Q16))^0.496</f>
        <v>57.155254893200478</v>
      </c>
      <c r="CV5" s="19">
        <f>(SUM(Q14:Q16))^0.356</f>
        <v>18.243698789797101</v>
      </c>
      <c r="CW5" s="19">
        <f>(SUM(Q14:Q16))^0.541</f>
        <v>82.502385019622608</v>
      </c>
      <c r="CX5" s="19">
        <f>(SUM(Q14:Q16))^0.262</f>
        <v>8.4746624725786486</v>
      </c>
      <c r="CY5" s="19">
        <f>(SUM(Q14:Q16))^0.314</f>
        <v>12.951793498595389</v>
      </c>
      <c r="CZ5" s="19">
        <f>$Q$16^0.093</f>
        <v>1.6329512474443364</v>
      </c>
    </row>
    <row r="6" spans="1:107" x14ac:dyDescent="0.2">
      <c r="A6" s="45"/>
      <c r="B6" s="45"/>
      <c r="C6" s="45"/>
      <c r="D6" s="70"/>
      <c r="E6" s="44"/>
      <c r="F6" s="44"/>
      <c r="G6" s="45"/>
      <c r="H6" s="45"/>
      <c r="I6" s="45"/>
      <c r="J6" s="45"/>
      <c r="K6" s="65"/>
      <c r="L6" s="65"/>
      <c r="M6" s="65"/>
      <c r="N6" s="65"/>
      <c r="O6" s="65"/>
      <c r="P6" s="65"/>
      <c r="Q6" s="65"/>
      <c r="R6" s="65"/>
      <c r="S6" s="65"/>
      <c r="T6" s="65"/>
      <c r="U6" s="134" t="str">
        <f>IF(ISBLANK(I24),G24,I24)</f>
        <v>Fitzgerald Avenue North</v>
      </c>
      <c r="V6" s="135"/>
      <c r="W6" s="136"/>
      <c r="X6" s="65"/>
      <c r="Y6" s="65"/>
      <c r="Z6" s="65"/>
      <c r="AA6" s="65"/>
      <c r="AB6" s="65"/>
      <c r="AC6" s="65"/>
      <c r="AD6" s="65"/>
      <c r="AE6" s="65"/>
      <c r="AF6" s="65"/>
      <c r="AG6" s="1"/>
      <c r="AH6" s="1"/>
      <c r="AI6" s="1"/>
      <c r="AJ6" s="1"/>
      <c r="AK6" s="1"/>
      <c r="AL6" s="3" t="s">
        <v>36</v>
      </c>
      <c r="AM6" s="3">
        <v>4</v>
      </c>
      <c r="AX6" s="2" t="s">
        <v>37</v>
      </c>
      <c r="AY6" s="19">
        <f>($Q$15+$AA$15)^0.362</f>
        <v>25.069529844711127</v>
      </c>
      <c r="AZ6" s="20">
        <v>1</v>
      </c>
      <c r="BA6" s="20">
        <v>1</v>
      </c>
      <c r="BB6" s="20">
        <v>1</v>
      </c>
      <c r="BC6" s="20">
        <v>1</v>
      </c>
      <c r="BD6" s="20">
        <v>1</v>
      </c>
      <c r="BE6" s="20">
        <v>1</v>
      </c>
      <c r="BF6" s="20">
        <v>1</v>
      </c>
      <c r="BG6" s="20">
        <v>1</v>
      </c>
      <c r="BM6" s="2" t="s">
        <v>37</v>
      </c>
      <c r="BN6" s="19">
        <f>($V$10+$V$20)^0.362</f>
        <v>46.3099473770421</v>
      </c>
      <c r="BO6" s="20">
        <v>1</v>
      </c>
      <c r="BP6" s="20">
        <v>1</v>
      </c>
      <c r="BQ6" s="20">
        <v>1</v>
      </c>
      <c r="BR6" s="20">
        <v>1</v>
      </c>
      <c r="BS6" s="20">
        <v>1</v>
      </c>
      <c r="BT6" s="20">
        <v>1</v>
      </c>
      <c r="BU6" s="20">
        <v>1</v>
      </c>
      <c r="BV6" s="20">
        <v>1</v>
      </c>
      <c r="CB6" s="2" t="s">
        <v>37</v>
      </c>
      <c r="CC6" s="19">
        <f>($Q$15+$AA$15)^0.362</f>
        <v>25.069529844711127</v>
      </c>
      <c r="CD6" s="20">
        <v>1</v>
      </c>
      <c r="CE6" s="20">
        <v>1</v>
      </c>
      <c r="CF6" s="20">
        <v>1</v>
      </c>
      <c r="CG6" s="20">
        <v>1</v>
      </c>
      <c r="CH6" s="20">
        <v>1</v>
      </c>
      <c r="CI6" s="20">
        <v>1</v>
      </c>
      <c r="CJ6" s="20">
        <v>1</v>
      </c>
      <c r="CK6" s="20">
        <v>1</v>
      </c>
      <c r="CQ6" s="2" t="s">
        <v>37</v>
      </c>
      <c r="CR6" s="19">
        <f>($V$10+$V$20)^0.362</f>
        <v>46.3099473770421</v>
      </c>
      <c r="CS6" s="20">
        <v>1</v>
      </c>
      <c r="CT6" s="20">
        <v>1</v>
      </c>
      <c r="CU6" s="20">
        <v>1</v>
      </c>
      <c r="CV6" s="20">
        <v>1</v>
      </c>
      <c r="CW6" s="20">
        <v>1</v>
      </c>
      <c r="CX6" s="20">
        <v>1</v>
      </c>
      <c r="CY6" s="20">
        <v>1</v>
      </c>
      <c r="CZ6" s="20">
        <v>1</v>
      </c>
    </row>
    <row r="7" spans="1:107" x14ac:dyDescent="0.2">
      <c r="A7" s="64"/>
      <c r="B7" s="45"/>
      <c r="C7" s="45"/>
      <c r="D7" s="70"/>
      <c r="E7" s="44"/>
      <c r="F7" s="44"/>
      <c r="G7" s="45"/>
      <c r="H7" s="45"/>
      <c r="I7" s="45"/>
      <c r="J7" s="45"/>
      <c r="K7" s="65"/>
      <c r="L7" s="65"/>
      <c r="M7" s="65"/>
      <c r="N7" s="71"/>
      <c r="O7" s="71"/>
      <c r="P7" s="71"/>
      <c r="Q7" s="71"/>
      <c r="R7" s="71"/>
      <c r="S7" s="71"/>
      <c r="T7" s="71"/>
      <c r="U7" s="72">
        <v>1</v>
      </c>
      <c r="V7" s="73">
        <v>2</v>
      </c>
      <c r="W7" s="74">
        <v>3</v>
      </c>
      <c r="X7" s="75"/>
      <c r="Y7" s="71"/>
      <c r="Z7" s="71"/>
      <c r="AA7" s="71"/>
      <c r="AB7" s="71"/>
      <c r="AC7" s="71"/>
      <c r="AD7" s="71"/>
      <c r="AE7" s="71"/>
      <c r="AF7" s="65"/>
      <c r="AG7" s="1"/>
      <c r="AH7" s="1"/>
      <c r="AI7" s="1"/>
      <c r="AJ7" s="1"/>
      <c r="AK7" s="1"/>
      <c r="AL7" s="8" t="s">
        <v>38</v>
      </c>
      <c r="AM7" s="9">
        <v>5</v>
      </c>
      <c r="AX7" s="2" t="s">
        <v>39</v>
      </c>
      <c r="AY7" s="20">
        <v>1</v>
      </c>
      <c r="AZ7" s="20">
        <v>1</v>
      </c>
      <c r="BA7" s="20">
        <v>1</v>
      </c>
      <c r="BB7" s="20">
        <v>1</v>
      </c>
      <c r="BC7" s="20">
        <v>1</v>
      </c>
      <c r="BD7" s="20">
        <v>1</v>
      </c>
      <c r="BE7" s="20">
        <v>1</v>
      </c>
      <c r="BF7" s="19">
        <f>VLOOKUP($V$12,$AL$2:$AM$7,2,FALSE)^0.364</f>
        <v>1</v>
      </c>
      <c r="BG7" s="19">
        <f>VLOOKUP($V$12,$AL$2:$AM$7,2,FALSE)^0.172</f>
        <v>1</v>
      </c>
      <c r="BM7" s="2" t="s">
        <v>39</v>
      </c>
      <c r="BN7" s="20">
        <v>1</v>
      </c>
      <c r="BO7" s="20">
        <v>1</v>
      </c>
      <c r="BP7" s="20">
        <v>1</v>
      </c>
      <c r="BQ7" s="20">
        <v>1</v>
      </c>
      <c r="BR7" s="20">
        <v>1</v>
      </c>
      <c r="BS7" s="20">
        <v>1</v>
      </c>
      <c r="BT7" s="20">
        <v>1</v>
      </c>
      <c r="BU7" s="19">
        <f>VLOOKUP($Y$15,$AL$2:$AM$7,2,FALSE)^0.364</f>
        <v>1</v>
      </c>
      <c r="BV7" s="19">
        <f>VLOOKUP($Y$15,$AL$2:$AM$7,2,FALSE)^0.172</f>
        <v>1</v>
      </c>
      <c r="CB7" s="2" t="s">
        <v>39</v>
      </c>
      <c r="CC7" s="20">
        <v>1</v>
      </c>
      <c r="CD7" s="20">
        <v>1</v>
      </c>
      <c r="CE7" s="20">
        <v>1</v>
      </c>
      <c r="CF7" s="20">
        <v>1</v>
      </c>
      <c r="CG7" s="20">
        <v>1</v>
      </c>
      <c r="CH7" s="20">
        <v>1</v>
      </c>
      <c r="CI7" s="20">
        <v>1</v>
      </c>
      <c r="CJ7" s="19">
        <f>VLOOKUP($V$18,$AL$2:$AM$7,2,FALSE)^0.364</f>
        <v>1.2869892473012707</v>
      </c>
      <c r="CK7" s="19">
        <f>VLOOKUP($V$18,$AL$2:$AM$7,2,FALSE)^0.172</f>
        <v>1.1266192284972794</v>
      </c>
      <c r="CQ7" s="2" t="s">
        <v>39</v>
      </c>
      <c r="CR7" s="20">
        <v>1</v>
      </c>
      <c r="CS7" s="20">
        <v>1</v>
      </c>
      <c r="CT7" s="20">
        <v>1</v>
      </c>
      <c r="CU7" s="20">
        <v>1</v>
      </c>
      <c r="CV7" s="20">
        <v>1</v>
      </c>
      <c r="CW7" s="20">
        <v>1</v>
      </c>
      <c r="CX7" s="20">
        <v>1</v>
      </c>
      <c r="CY7" s="19">
        <f>VLOOKUP($S$15,$AL$2:$AM$7,2,FALSE)^0.364</f>
        <v>1</v>
      </c>
      <c r="CZ7" s="19">
        <f>VLOOKUP($S$15,$AL$2:$AM$7,2,FALSE)^0.172</f>
        <v>1</v>
      </c>
    </row>
    <row r="8" spans="1:107" x14ac:dyDescent="0.2">
      <c r="A8" s="64"/>
      <c r="B8" s="45"/>
      <c r="C8" s="45"/>
      <c r="D8" s="70"/>
      <c r="E8" s="44"/>
      <c r="F8" s="44"/>
      <c r="G8" s="45"/>
      <c r="H8" s="45"/>
      <c r="I8" s="45"/>
      <c r="J8" s="45"/>
      <c r="K8" s="65"/>
      <c r="L8" s="65"/>
      <c r="M8" s="65"/>
      <c r="N8" s="71"/>
      <c r="O8" s="71"/>
      <c r="P8" s="71"/>
      <c r="Q8" s="71"/>
      <c r="R8" s="71"/>
      <c r="S8" s="76" t="s">
        <v>1</v>
      </c>
      <c r="T8" s="71"/>
      <c r="U8" s="21"/>
      <c r="V8" s="21">
        <v>40</v>
      </c>
      <c r="W8" s="21">
        <v>5</v>
      </c>
      <c r="X8" s="75"/>
      <c r="Y8" s="71"/>
      <c r="Z8" s="71"/>
      <c r="AA8" s="71"/>
      <c r="AB8" s="71"/>
      <c r="AC8" s="71"/>
      <c r="AD8" s="71"/>
      <c r="AE8" s="71"/>
      <c r="AF8" s="65"/>
      <c r="AG8" s="1"/>
      <c r="AH8" s="1"/>
      <c r="AI8" s="1"/>
      <c r="AJ8" s="1"/>
      <c r="AK8" s="1"/>
      <c r="AL8" s="22"/>
      <c r="AM8" s="23"/>
      <c r="AX8" s="24" t="s">
        <v>40</v>
      </c>
      <c r="AY8" s="19">
        <f>EXP(0.356*$G$34)</f>
        <v>5.9298564185911449</v>
      </c>
      <c r="AZ8" s="25">
        <v>1</v>
      </c>
      <c r="BA8" s="20">
        <v>1</v>
      </c>
      <c r="BB8" s="19">
        <f>EXP(0.243*$G$34)</f>
        <v>3.3702940643216066</v>
      </c>
      <c r="BC8" s="19">
        <f>EXP(0.459*$G$34)</f>
        <v>9.9244360122853479</v>
      </c>
      <c r="BD8" s="19">
        <f>EXP(0.144*$G$34)</f>
        <v>2.0544332106438876</v>
      </c>
      <c r="BE8" s="20">
        <v>1</v>
      </c>
      <c r="BF8" s="19">
        <f>EXP(0.16*$G$34)</f>
        <v>2.2255409284924679</v>
      </c>
      <c r="BG8" s="20">
        <v>1</v>
      </c>
      <c r="BM8" s="24" t="s">
        <v>40</v>
      </c>
      <c r="BN8" s="19">
        <f>EXP(0.356*$H$34)</f>
        <v>2.0380633118599061</v>
      </c>
      <c r="BO8" s="25">
        <v>1</v>
      </c>
      <c r="BP8" s="20">
        <v>1</v>
      </c>
      <c r="BQ8" s="19">
        <f>EXP(0.243*$H$34)</f>
        <v>1.6257999962113414</v>
      </c>
      <c r="BR8" s="19">
        <f>EXP(0.459*$H$34)</f>
        <v>2.5042768243931568</v>
      </c>
      <c r="BS8" s="19">
        <f>EXP(0.144*$H$34)</f>
        <v>1.3337573041233846</v>
      </c>
      <c r="BT8" s="20">
        <v>1</v>
      </c>
      <c r="BU8" s="19">
        <f>EXP(0.16*$H$34)</f>
        <v>1.3771277643359572</v>
      </c>
      <c r="BV8" s="20">
        <v>1</v>
      </c>
      <c r="CB8" s="24" t="s">
        <v>40</v>
      </c>
      <c r="CC8" s="19">
        <f>EXP(0.356*$I$34)</f>
        <v>5.9298564185911449</v>
      </c>
      <c r="CD8" s="25">
        <v>1</v>
      </c>
      <c r="CE8" s="20">
        <v>1</v>
      </c>
      <c r="CF8" s="19">
        <f>EXP(0.243*$I$34)</f>
        <v>3.3702940643216066</v>
      </c>
      <c r="CG8" s="19">
        <f>EXP(0.459*$I$34)</f>
        <v>9.9244360122853479</v>
      </c>
      <c r="CH8" s="19">
        <f>EXP(0.144*$I$34)</f>
        <v>2.0544332106438876</v>
      </c>
      <c r="CI8" s="20">
        <v>1</v>
      </c>
      <c r="CJ8" s="19">
        <f>EXP(0.16*$I$34)</f>
        <v>2.2255409284924679</v>
      </c>
      <c r="CK8" s="20">
        <v>1</v>
      </c>
      <c r="CQ8" s="24" t="s">
        <v>40</v>
      </c>
      <c r="CR8" s="19">
        <f>EXP(0.356*$J$34)</f>
        <v>2.0380633118599061</v>
      </c>
      <c r="CS8" s="25">
        <v>1</v>
      </c>
      <c r="CT8" s="20">
        <v>1</v>
      </c>
      <c r="CU8" s="19">
        <f>EXP(0.243*$J$34)</f>
        <v>1.6257999962113414</v>
      </c>
      <c r="CV8" s="19">
        <f>EXP(0.459*$J$34)</f>
        <v>2.5042768243931568</v>
      </c>
      <c r="CW8" s="19">
        <f>EXP(0.144*$J$34)</f>
        <v>1.3337573041233846</v>
      </c>
      <c r="CX8" s="20">
        <v>1</v>
      </c>
      <c r="CY8" s="19">
        <f>EXP(0.16*$J$34)</f>
        <v>1.3771277643359572</v>
      </c>
      <c r="CZ8" s="20">
        <v>1</v>
      </c>
    </row>
    <row r="9" spans="1:107" ht="7.5" customHeight="1" x14ac:dyDescent="0.2">
      <c r="A9" s="64"/>
      <c r="B9" s="45"/>
      <c r="C9" s="45"/>
      <c r="D9" s="70"/>
      <c r="E9" s="44"/>
      <c r="F9" s="44"/>
      <c r="G9" s="45"/>
      <c r="H9" s="45"/>
      <c r="I9" s="45"/>
      <c r="J9" s="45"/>
      <c r="K9" s="65"/>
      <c r="L9" s="65"/>
      <c r="M9" s="65"/>
      <c r="N9" s="71"/>
      <c r="O9" s="71"/>
      <c r="P9" s="71"/>
      <c r="Q9" s="71"/>
      <c r="R9" s="71"/>
      <c r="S9" s="71"/>
      <c r="T9" s="71"/>
      <c r="U9" s="75"/>
      <c r="V9" s="75"/>
      <c r="W9" s="75"/>
      <c r="X9" s="75"/>
      <c r="Y9" s="71"/>
      <c r="Z9" s="71"/>
      <c r="AA9" s="71"/>
      <c r="AB9" s="71"/>
      <c r="AC9" s="71"/>
      <c r="AD9" s="71"/>
      <c r="AE9" s="71"/>
      <c r="AF9" s="65"/>
      <c r="AG9" s="1"/>
      <c r="AH9" s="1"/>
      <c r="AI9" s="1"/>
      <c r="AJ9" s="1"/>
      <c r="AK9" s="1"/>
      <c r="AL9" s="22"/>
      <c r="AM9" s="23"/>
      <c r="AX9" s="24" t="s">
        <v>41</v>
      </c>
      <c r="AY9" s="19">
        <f>$G$32^0.602</f>
        <v>6.2513816762072683</v>
      </c>
      <c r="AZ9" s="20">
        <v>1</v>
      </c>
      <c r="BA9" s="20">
        <v>1</v>
      </c>
      <c r="BB9" s="20">
        <v>1</v>
      </c>
      <c r="BC9" s="20">
        <v>1</v>
      </c>
      <c r="BD9" s="20">
        <v>1</v>
      </c>
      <c r="BE9" s="20">
        <v>1</v>
      </c>
      <c r="BF9" s="20">
        <v>1</v>
      </c>
      <c r="BG9" s="20">
        <v>1</v>
      </c>
      <c r="BM9" s="24" t="s">
        <v>41</v>
      </c>
      <c r="BN9" s="19">
        <f>$H$32^0.602</f>
        <v>8.9336662786764229</v>
      </c>
      <c r="BO9" s="20">
        <v>1</v>
      </c>
      <c r="BP9" s="20">
        <v>1</v>
      </c>
      <c r="BQ9" s="20">
        <v>1</v>
      </c>
      <c r="BR9" s="20">
        <v>1</v>
      </c>
      <c r="BS9" s="20">
        <v>1</v>
      </c>
      <c r="BT9" s="20">
        <v>1</v>
      </c>
      <c r="BU9" s="20">
        <v>1</v>
      </c>
      <c r="BV9" s="20">
        <v>1</v>
      </c>
      <c r="CB9" s="24" t="s">
        <v>41</v>
      </c>
      <c r="CC9" s="19">
        <f>$I$32^0.602</f>
        <v>6.2513816762072683</v>
      </c>
      <c r="CD9" s="20">
        <v>1</v>
      </c>
      <c r="CE9" s="20">
        <v>1</v>
      </c>
      <c r="CF9" s="20">
        <v>1</v>
      </c>
      <c r="CG9" s="20">
        <v>1</v>
      </c>
      <c r="CH9" s="20">
        <v>1</v>
      </c>
      <c r="CI9" s="20">
        <v>1</v>
      </c>
      <c r="CJ9" s="20">
        <v>1</v>
      </c>
      <c r="CK9" s="20">
        <v>1</v>
      </c>
      <c r="CQ9" s="24" t="s">
        <v>41</v>
      </c>
      <c r="CR9" s="19">
        <f>$J$32^0.602</f>
        <v>8.9336662786764229</v>
      </c>
      <c r="CS9" s="20">
        <v>1</v>
      </c>
      <c r="CT9" s="20">
        <v>1</v>
      </c>
      <c r="CU9" s="20">
        <v>1</v>
      </c>
      <c r="CV9" s="20">
        <v>1</v>
      </c>
      <c r="CW9" s="20">
        <v>1</v>
      </c>
      <c r="CX9" s="20">
        <v>1</v>
      </c>
      <c r="CY9" s="20">
        <v>1</v>
      </c>
      <c r="CZ9" s="20">
        <v>1</v>
      </c>
    </row>
    <row r="10" spans="1:107" x14ac:dyDescent="0.2">
      <c r="A10" s="64"/>
      <c r="B10" s="64"/>
      <c r="C10" s="64"/>
      <c r="D10" s="64"/>
      <c r="E10" s="64"/>
      <c r="F10" s="64"/>
      <c r="G10" s="64"/>
      <c r="H10" s="64"/>
      <c r="I10" s="64"/>
      <c r="J10" s="64"/>
      <c r="K10" s="65"/>
      <c r="L10" s="65"/>
      <c r="M10" s="65"/>
      <c r="N10" s="45"/>
      <c r="O10" s="45"/>
      <c r="P10" s="45"/>
      <c r="Q10" s="45"/>
      <c r="R10" s="45"/>
      <c r="S10" s="76" t="s">
        <v>42</v>
      </c>
      <c r="T10" s="45"/>
      <c r="U10" s="26">
        <v>815</v>
      </c>
      <c r="V10" s="26">
        <v>19832</v>
      </c>
      <c r="W10" s="26">
        <v>308</v>
      </c>
      <c r="X10" s="46"/>
      <c r="Y10" s="45"/>
      <c r="Z10" s="45"/>
      <c r="AA10" s="45"/>
      <c r="AB10" s="45"/>
      <c r="AC10" s="45"/>
      <c r="AD10" s="45"/>
      <c r="AE10" s="45"/>
      <c r="AF10" s="65"/>
      <c r="AG10" s="1"/>
      <c r="AH10" s="1"/>
      <c r="AI10" s="1"/>
      <c r="AJ10" s="1"/>
      <c r="AK10" s="1"/>
      <c r="AL10" s="27"/>
      <c r="AM10" s="28"/>
      <c r="AX10" s="24" t="s">
        <v>43</v>
      </c>
      <c r="AY10" s="19">
        <f>$D$27^-0.037</f>
        <v>0.844609504673417</v>
      </c>
      <c r="AZ10" s="19">
        <f>$D$27^-0.683</f>
        <v>4.4269921087270458E-2</v>
      </c>
      <c r="BA10" s="20">
        <v>1</v>
      </c>
      <c r="BB10" s="20">
        <v>1</v>
      </c>
      <c r="BC10" s="20">
        <v>1</v>
      </c>
      <c r="BD10" s="19">
        <f>$D$27^-0.704</f>
        <v>4.0223610624753312E-2</v>
      </c>
      <c r="BE10" s="19">
        <f>$D$27^0.354</f>
        <v>5.0318074812824491</v>
      </c>
      <c r="BF10" s="19">
        <f>$D$27^0.81</f>
        <v>40.33106578287628</v>
      </c>
      <c r="BG10" s="19">
        <f>$D$27^-0.579</f>
        <v>7.1164754595013771E-2</v>
      </c>
      <c r="BM10" s="24" t="s">
        <v>43</v>
      </c>
      <c r="BN10" s="19">
        <f>$D$27^-0.037</f>
        <v>0.844609504673417</v>
      </c>
      <c r="BO10" s="19">
        <f>$D$27^-0.683</f>
        <v>4.4269921087270458E-2</v>
      </c>
      <c r="BP10" s="20">
        <v>1</v>
      </c>
      <c r="BQ10" s="20">
        <v>1</v>
      </c>
      <c r="BR10" s="20">
        <v>1</v>
      </c>
      <c r="BS10" s="19">
        <f>$D$27^-0.704</f>
        <v>4.0223610624753312E-2</v>
      </c>
      <c r="BT10" s="19">
        <f>$D$27^0.354</f>
        <v>5.0318074812824491</v>
      </c>
      <c r="BU10" s="19">
        <f>$D$27^0.81</f>
        <v>40.33106578287628</v>
      </c>
      <c r="BV10" s="19">
        <f>$D$27^-0.579</f>
        <v>7.1164754595013771E-2</v>
      </c>
      <c r="CB10" s="24" t="s">
        <v>43</v>
      </c>
      <c r="CC10" s="19">
        <f>$D$27^-0.037</f>
        <v>0.844609504673417</v>
      </c>
      <c r="CD10" s="19">
        <f>$D$27^-0.683</f>
        <v>4.4269921087270458E-2</v>
      </c>
      <c r="CE10" s="20">
        <v>1</v>
      </c>
      <c r="CF10" s="20">
        <v>1</v>
      </c>
      <c r="CG10" s="20">
        <v>1</v>
      </c>
      <c r="CH10" s="19">
        <f>$D$27^-0.704</f>
        <v>4.0223610624753312E-2</v>
      </c>
      <c r="CI10" s="19">
        <f>$D$27^0.354</f>
        <v>5.0318074812824491</v>
      </c>
      <c r="CJ10" s="19">
        <f>$D$27^0.81</f>
        <v>40.33106578287628</v>
      </c>
      <c r="CK10" s="19">
        <f>$D$27^-0.579</f>
        <v>7.1164754595013771E-2</v>
      </c>
      <c r="CQ10" s="24" t="s">
        <v>43</v>
      </c>
      <c r="CR10" s="19">
        <f>$D$27^-0.037</f>
        <v>0.844609504673417</v>
      </c>
      <c r="CS10" s="19">
        <f>$D$27^-0.683</f>
        <v>4.4269921087270458E-2</v>
      </c>
      <c r="CT10" s="20">
        <v>1</v>
      </c>
      <c r="CU10" s="20">
        <v>1</v>
      </c>
      <c r="CV10" s="20">
        <v>1</v>
      </c>
      <c r="CW10" s="19">
        <f>$D$27^-0.704</f>
        <v>4.0223610624753312E-2</v>
      </c>
      <c r="CX10" s="19">
        <f>$D$27^0.354</f>
        <v>5.0318074812824491</v>
      </c>
      <c r="CY10" s="19">
        <f>$D$27^0.81</f>
        <v>40.33106578287628</v>
      </c>
      <c r="CZ10" s="19">
        <f>$D$27^-0.579</f>
        <v>7.1164754595013771E-2</v>
      </c>
    </row>
    <row r="11" spans="1:107" ht="7.5" customHeight="1" x14ac:dyDescent="0.2">
      <c r="A11" s="64"/>
      <c r="B11" s="64"/>
      <c r="C11" s="64"/>
      <c r="D11" s="64"/>
      <c r="E11" s="64"/>
      <c r="F11" s="64"/>
      <c r="G11" s="64"/>
      <c r="H11" s="64"/>
      <c r="I11" s="64"/>
      <c r="J11" s="64"/>
      <c r="K11" s="65"/>
      <c r="L11" s="65"/>
      <c r="M11" s="65"/>
      <c r="N11" s="45"/>
      <c r="O11" s="45"/>
      <c r="P11" s="45"/>
      <c r="Q11" s="45"/>
      <c r="R11" s="45"/>
      <c r="S11" s="75"/>
      <c r="T11" s="45"/>
      <c r="U11" s="46"/>
      <c r="V11" s="46"/>
      <c r="W11" s="46"/>
      <c r="X11" s="46"/>
      <c r="Y11" s="45"/>
      <c r="Z11" s="45"/>
      <c r="AA11" s="45"/>
      <c r="AB11" s="45"/>
      <c r="AC11" s="45"/>
      <c r="AD11" s="45"/>
      <c r="AE11" s="45"/>
      <c r="AF11" s="65"/>
      <c r="AG11" s="1"/>
      <c r="AH11" s="1"/>
      <c r="AI11" s="1"/>
      <c r="AJ11" s="1"/>
      <c r="AK11" s="1"/>
      <c r="AL11" s="12" t="s">
        <v>44</v>
      </c>
      <c r="AM11" s="7"/>
      <c r="AX11" s="24" t="s">
        <v>45</v>
      </c>
      <c r="AY11" s="19">
        <f>$D$28^-0.636</f>
        <v>1</v>
      </c>
      <c r="AZ11" s="20">
        <v>1</v>
      </c>
      <c r="BA11" s="20">
        <v>1</v>
      </c>
      <c r="BB11" s="20">
        <v>1</v>
      </c>
      <c r="BC11" s="20">
        <v>1</v>
      </c>
      <c r="BD11" s="20">
        <v>1</v>
      </c>
      <c r="BE11" s="20">
        <v>1</v>
      </c>
      <c r="BF11" s="19">
        <f>$D$28^0.61</f>
        <v>1</v>
      </c>
      <c r="BG11" s="20">
        <v>1</v>
      </c>
      <c r="BM11" s="24" t="s">
        <v>45</v>
      </c>
      <c r="BN11" s="19">
        <f>$D$28^-0.636</f>
        <v>1</v>
      </c>
      <c r="BO11" s="20">
        <v>1</v>
      </c>
      <c r="BP11" s="20">
        <v>1</v>
      </c>
      <c r="BQ11" s="20">
        <v>1</v>
      </c>
      <c r="BR11" s="20">
        <v>1</v>
      </c>
      <c r="BS11" s="20">
        <v>1</v>
      </c>
      <c r="BT11" s="20">
        <v>1</v>
      </c>
      <c r="BU11" s="19">
        <f>$D$28^0.61</f>
        <v>1</v>
      </c>
      <c r="BV11" s="20">
        <v>1</v>
      </c>
      <c r="CB11" s="24" t="s">
        <v>45</v>
      </c>
      <c r="CC11" s="19">
        <f>$D$28^-0.636</f>
        <v>1</v>
      </c>
      <c r="CD11" s="20">
        <v>1</v>
      </c>
      <c r="CE11" s="20">
        <v>1</v>
      </c>
      <c r="CF11" s="20">
        <v>1</v>
      </c>
      <c r="CG11" s="20">
        <v>1</v>
      </c>
      <c r="CH11" s="20">
        <v>1</v>
      </c>
      <c r="CI11" s="20">
        <v>1</v>
      </c>
      <c r="CJ11" s="19">
        <f>$D$28^0.61</f>
        <v>1</v>
      </c>
      <c r="CK11" s="20">
        <v>1</v>
      </c>
      <c r="CQ11" s="24" t="s">
        <v>45</v>
      </c>
      <c r="CR11" s="19">
        <f>$D$28^-0.636</f>
        <v>1</v>
      </c>
      <c r="CS11" s="20">
        <v>1</v>
      </c>
      <c r="CT11" s="20">
        <v>1</v>
      </c>
      <c r="CU11" s="20">
        <v>1</v>
      </c>
      <c r="CV11" s="20">
        <v>1</v>
      </c>
      <c r="CW11" s="20">
        <v>1</v>
      </c>
      <c r="CX11" s="20">
        <v>1</v>
      </c>
      <c r="CY11" s="19">
        <f>$D$28^0.61</f>
        <v>1</v>
      </c>
      <c r="CZ11" s="20">
        <v>1</v>
      </c>
    </row>
    <row r="12" spans="1:107" x14ac:dyDescent="0.2">
      <c r="A12" s="64"/>
      <c r="B12" s="64"/>
      <c r="C12" s="64"/>
      <c r="D12" s="64"/>
      <c r="E12" s="64"/>
      <c r="F12" s="64"/>
      <c r="G12" s="64"/>
      <c r="H12" s="64"/>
      <c r="I12" s="64"/>
      <c r="J12" s="64"/>
      <c r="K12" s="65"/>
      <c r="L12" s="65"/>
      <c r="M12" s="65"/>
      <c r="N12" s="45"/>
      <c r="O12" s="76" t="s">
        <v>1</v>
      </c>
      <c r="P12" s="45"/>
      <c r="Q12" s="76" t="s">
        <v>42</v>
      </c>
      <c r="R12" s="45"/>
      <c r="S12" s="77" t="s">
        <v>46</v>
      </c>
      <c r="T12" s="45"/>
      <c r="U12" s="45"/>
      <c r="V12" s="29" t="s">
        <v>17</v>
      </c>
      <c r="W12" s="45"/>
      <c r="X12" s="45"/>
      <c r="Y12" s="77" t="s">
        <v>46</v>
      </c>
      <c r="Z12" s="75"/>
      <c r="AA12" s="76" t="s">
        <v>42</v>
      </c>
      <c r="AB12" s="75"/>
      <c r="AC12" s="76" t="s">
        <v>1</v>
      </c>
      <c r="AD12" s="75"/>
      <c r="AE12" s="75"/>
      <c r="AF12" s="65"/>
      <c r="AG12" s="1"/>
      <c r="AH12" s="1"/>
      <c r="AI12" s="1"/>
      <c r="AJ12" s="1"/>
      <c r="AK12" s="1"/>
      <c r="AL12" s="13" t="s">
        <v>21</v>
      </c>
      <c r="AM12" s="7"/>
      <c r="AX12" s="24" t="s">
        <v>47</v>
      </c>
      <c r="AY12" s="20">
        <v>1</v>
      </c>
      <c r="AZ12" s="19">
        <f>(1+$G$36)^-0.124</f>
        <v>0.68161570373410929</v>
      </c>
      <c r="BA12" s="19">
        <f>(1+$G$36)^-0.259</f>
        <v>0.44906843093737736</v>
      </c>
      <c r="BB12" s="20">
        <v>1</v>
      </c>
      <c r="BC12" s="19">
        <f>(1+$G$36)^-1.142</f>
        <v>2.9305780910074575E-2</v>
      </c>
      <c r="BD12" s="20">
        <v>1</v>
      </c>
      <c r="BE12" s="20">
        <v>1</v>
      </c>
      <c r="BF12" s="20">
        <v>1</v>
      </c>
      <c r="BG12" s="20">
        <v>1</v>
      </c>
      <c r="BM12" s="24" t="s">
        <v>47</v>
      </c>
      <c r="BN12" s="20">
        <v>1</v>
      </c>
      <c r="BO12" s="19">
        <f>(1+$H$36)^-0.124</f>
        <v>0.56355145928463346</v>
      </c>
      <c r="BP12" s="19">
        <f>(1+$H$36)^-0.259</f>
        <v>0.30183705547022044</v>
      </c>
      <c r="BQ12" s="20">
        <v>1</v>
      </c>
      <c r="BR12" s="19">
        <f>(1+$H$36)^-1.142</f>
        <v>5.0836846639235418E-3</v>
      </c>
      <c r="BS12" s="20">
        <v>1</v>
      </c>
      <c r="BT12" s="20">
        <v>1</v>
      </c>
      <c r="BU12" s="20">
        <v>1</v>
      </c>
      <c r="BV12" s="20">
        <v>1</v>
      </c>
      <c r="CB12" s="24" t="s">
        <v>47</v>
      </c>
      <c r="CC12" s="20">
        <v>1</v>
      </c>
      <c r="CD12" s="19">
        <f>(1+$I$36)^-0.124</f>
        <v>0.68161570373410929</v>
      </c>
      <c r="CE12" s="19">
        <f>(1+$I$36)^-0.259</f>
        <v>0.44906843093737736</v>
      </c>
      <c r="CF12" s="20">
        <v>1</v>
      </c>
      <c r="CG12" s="19">
        <f>(1+$I$36)^-1.142</f>
        <v>2.9305780910074575E-2</v>
      </c>
      <c r="CH12" s="20">
        <v>1</v>
      </c>
      <c r="CI12" s="20">
        <v>1</v>
      </c>
      <c r="CJ12" s="20">
        <v>1</v>
      </c>
      <c r="CK12" s="20">
        <v>1</v>
      </c>
      <c r="CQ12" s="24" t="s">
        <v>47</v>
      </c>
      <c r="CR12" s="20">
        <v>1</v>
      </c>
      <c r="CS12" s="19">
        <f>(1+$J$36)^-0.124</f>
        <v>0.56355145928463346</v>
      </c>
      <c r="CT12" s="19">
        <f>(1+$J$36)^-0.259</f>
        <v>0.30183705547022044</v>
      </c>
      <c r="CU12" s="20">
        <v>1</v>
      </c>
      <c r="CV12" s="19">
        <f>(1+$J$36)^-1.142</f>
        <v>5.0836846639235418E-3</v>
      </c>
      <c r="CW12" s="20">
        <v>1</v>
      </c>
      <c r="CX12" s="20">
        <v>1</v>
      </c>
      <c r="CY12" s="20">
        <v>1</v>
      </c>
      <c r="CZ12" s="20">
        <v>1</v>
      </c>
    </row>
    <row r="13" spans="1:107" ht="7.5" customHeight="1" x14ac:dyDescent="0.2">
      <c r="A13" s="64"/>
      <c r="B13" s="64"/>
      <c r="C13" s="64"/>
      <c r="D13" s="64"/>
      <c r="E13" s="64"/>
      <c r="F13" s="64"/>
      <c r="G13" s="64"/>
      <c r="H13" s="64"/>
      <c r="I13" s="64"/>
      <c r="J13" s="64"/>
      <c r="K13" s="65"/>
      <c r="L13" s="65"/>
      <c r="M13" s="65"/>
      <c r="N13" s="45"/>
      <c r="O13" s="45"/>
      <c r="P13" s="45"/>
      <c r="Q13" s="45"/>
      <c r="R13" s="75"/>
      <c r="S13" s="75"/>
      <c r="T13" s="45"/>
      <c r="U13" s="45"/>
      <c r="V13" s="45"/>
      <c r="W13" s="45"/>
      <c r="X13" s="45"/>
      <c r="Y13" s="45"/>
      <c r="Z13" s="45"/>
      <c r="AA13" s="45"/>
      <c r="AB13" s="45"/>
      <c r="AC13" s="45"/>
      <c r="AD13" s="45"/>
      <c r="AE13" s="45"/>
      <c r="AF13" s="65"/>
      <c r="AG13" s="1"/>
      <c r="AH13" s="1"/>
      <c r="AI13" s="1"/>
      <c r="AJ13" s="1"/>
      <c r="AK13" s="1"/>
      <c r="AL13" s="13" t="s">
        <v>22</v>
      </c>
      <c r="AM13" s="7"/>
      <c r="AX13" s="24" t="s">
        <v>48</v>
      </c>
      <c r="AY13" s="20">
        <v>1</v>
      </c>
      <c r="AZ13" s="19">
        <f>EXP(0.352*$G$35)</f>
        <v>2.8748485655216069</v>
      </c>
      <c r="BA13" s="20">
        <v>1</v>
      </c>
      <c r="BB13" s="20">
        <v>1</v>
      </c>
      <c r="BC13" s="20">
        <v>1</v>
      </c>
      <c r="BD13" s="20">
        <v>1</v>
      </c>
      <c r="BE13" s="20">
        <v>1</v>
      </c>
      <c r="BF13" s="20">
        <v>1</v>
      </c>
      <c r="BG13" s="20">
        <v>1</v>
      </c>
      <c r="BM13" s="24" t="s">
        <v>48</v>
      </c>
      <c r="BN13" s="20">
        <v>1</v>
      </c>
      <c r="BO13" s="19">
        <f>EXP(0.352*$H$35)</f>
        <v>1.4219085237185773</v>
      </c>
      <c r="BP13" s="20">
        <v>1</v>
      </c>
      <c r="BQ13" s="20">
        <v>1</v>
      </c>
      <c r="BR13" s="20">
        <v>1</v>
      </c>
      <c r="BS13" s="20">
        <v>1</v>
      </c>
      <c r="BT13" s="20">
        <v>1</v>
      </c>
      <c r="BU13" s="20">
        <v>1</v>
      </c>
      <c r="BV13" s="20">
        <v>1</v>
      </c>
      <c r="CB13" s="24" t="s">
        <v>48</v>
      </c>
      <c r="CC13" s="20">
        <v>1</v>
      </c>
      <c r="CD13" s="19">
        <f>EXP(0.352*$I$35)</f>
        <v>2.8748485655216069</v>
      </c>
      <c r="CE13" s="20">
        <v>1</v>
      </c>
      <c r="CF13" s="20">
        <v>1</v>
      </c>
      <c r="CG13" s="20">
        <v>1</v>
      </c>
      <c r="CH13" s="20">
        <v>1</v>
      </c>
      <c r="CI13" s="20">
        <v>1</v>
      </c>
      <c r="CJ13" s="20">
        <v>1</v>
      </c>
      <c r="CK13" s="20">
        <v>1</v>
      </c>
      <c r="CQ13" s="24" t="s">
        <v>48</v>
      </c>
      <c r="CR13" s="20">
        <v>1</v>
      </c>
      <c r="CS13" s="19">
        <f>EXP(0.352*$J$35)</f>
        <v>1.4219085237185773</v>
      </c>
      <c r="CT13" s="20">
        <v>1</v>
      </c>
      <c r="CU13" s="20">
        <v>1</v>
      </c>
      <c r="CV13" s="20">
        <v>1</v>
      </c>
      <c r="CW13" s="20">
        <v>1</v>
      </c>
      <c r="CX13" s="20">
        <v>1</v>
      </c>
      <c r="CY13" s="20">
        <v>1</v>
      </c>
      <c r="CZ13" s="20">
        <v>1</v>
      </c>
    </row>
    <row r="14" spans="1:107" ht="45.75" customHeight="1" x14ac:dyDescent="0.2">
      <c r="A14" s="64"/>
      <c r="B14" s="137" t="s">
        <v>144</v>
      </c>
      <c r="C14" s="138"/>
      <c r="D14" s="138"/>
      <c r="E14" s="138"/>
      <c r="F14" s="138"/>
      <c r="G14" s="138"/>
      <c r="H14" s="138"/>
      <c r="I14" s="138"/>
      <c r="J14" s="138"/>
      <c r="K14" s="65"/>
      <c r="L14" s="65"/>
      <c r="M14" s="139" t="str">
        <f>IF(ISBLANK(I27),G27,I27)</f>
        <v>Gloucester Street East</v>
      </c>
      <c r="N14" s="78">
        <v>12</v>
      </c>
      <c r="O14" s="21">
        <v>0</v>
      </c>
      <c r="P14" s="79"/>
      <c r="Q14" s="26">
        <v>644</v>
      </c>
      <c r="R14" s="47"/>
      <c r="S14" s="47"/>
      <c r="T14" s="45"/>
      <c r="U14" s="45"/>
      <c r="V14" s="45"/>
      <c r="W14" s="45"/>
      <c r="X14" s="45"/>
      <c r="Y14" s="45"/>
      <c r="Z14" s="45"/>
      <c r="AA14" s="26">
        <v>952</v>
      </c>
      <c r="AB14" s="47"/>
      <c r="AC14" s="21">
        <v>5</v>
      </c>
      <c r="AD14" s="80">
        <v>4</v>
      </c>
      <c r="AE14" s="124" t="str">
        <f>IF(ISBLANK(I25),G25,I25)</f>
        <v>Gloucester Street East</v>
      </c>
      <c r="AF14" s="65"/>
      <c r="AG14" s="1"/>
      <c r="AH14" s="1"/>
      <c r="AI14" s="1"/>
      <c r="AJ14" s="1"/>
      <c r="AK14" s="1"/>
      <c r="AL14" s="13" t="s">
        <v>23</v>
      </c>
      <c r="AM14" s="7"/>
      <c r="AX14" s="24" t="s">
        <v>49</v>
      </c>
      <c r="AY14" s="20">
        <v>1</v>
      </c>
      <c r="AZ14" s="19">
        <f>$G$46^0.397</f>
        <v>0.58903176250504474</v>
      </c>
      <c r="BA14" s="20">
        <v>1</v>
      </c>
      <c r="BB14" s="20">
        <v>1</v>
      </c>
      <c r="BC14" s="20">
        <v>1</v>
      </c>
      <c r="BD14" s="19">
        <f>$G$46^0.447</f>
        <v>0.5510473647890356</v>
      </c>
      <c r="BE14" s="20">
        <v>1</v>
      </c>
      <c r="BF14" s="20">
        <v>1</v>
      </c>
      <c r="BG14" s="20">
        <v>1</v>
      </c>
      <c r="BM14" s="24" t="s">
        <v>49</v>
      </c>
      <c r="BN14" s="20">
        <v>1</v>
      </c>
      <c r="BO14" s="19">
        <f>$H$46^0.397</f>
        <v>0.70049109861706726</v>
      </c>
      <c r="BP14" s="20">
        <v>1</v>
      </c>
      <c r="BQ14" s="20">
        <v>1</v>
      </c>
      <c r="BR14" s="20">
        <v>1</v>
      </c>
      <c r="BS14" s="19">
        <f>$H$46^0.447</f>
        <v>0.66977960387576418</v>
      </c>
      <c r="BT14" s="20">
        <v>1</v>
      </c>
      <c r="BU14" s="20">
        <v>1</v>
      </c>
      <c r="BV14" s="20">
        <v>1</v>
      </c>
      <c r="CB14" s="24" t="s">
        <v>49</v>
      </c>
      <c r="CC14" s="20">
        <v>1</v>
      </c>
      <c r="CD14" s="19">
        <f>$I$46^0.397</f>
        <v>0.5921673588482983</v>
      </c>
      <c r="CE14" s="20">
        <v>1</v>
      </c>
      <c r="CF14" s="20">
        <v>1</v>
      </c>
      <c r="CG14" s="20">
        <v>1</v>
      </c>
      <c r="CH14" s="19">
        <f>$I$46^0.447</f>
        <v>0.55435130908463071</v>
      </c>
      <c r="CI14" s="20">
        <v>1</v>
      </c>
      <c r="CJ14" s="20">
        <v>1</v>
      </c>
      <c r="CK14" s="20">
        <v>1</v>
      </c>
      <c r="CQ14" s="24" t="s">
        <v>49</v>
      </c>
      <c r="CR14" s="20">
        <v>1</v>
      </c>
      <c r="CS14" s="19">
        <f>$J$46^0.397</f>
        <v>0.55869735943467147</v>
      </c>
      <c r="CT14" s="20">
        <v>1</v>
      </c>
      <c r="CU14" s="20">
        <v>1</v>
      </c>
      <c r="CV14" s="20">
        <v>1</v>
      </c>
      <c r="CW14" s="19">
        <f>$J$46^0.447</f>
        <v>0.51920023826277328</v>
      </c>
      <c r="CX14" s="20">
        <v>1</v>
      </c>
      <c r="CY14" s="20">
        <v>1</v>
      </c>
      <c r="CZ14" s="20">
        <v>1</v>
      </c>
    </row>
    <row r="15" spans="1:107" ht="45.75" customHeight="1" x14ac:dyDescent="0.2">
      <c r="A15" s="64"/>
      <c r="B15" s="138"/>
      <c r="C15" s="138"/>
      <c r="D15" s="138"/>
      <c r="E15" s="138"/>
      <c r="F15" s="138"/>
      <c r="G15" s="138"/>
      <c r="H15" s="138"/>
      <c r="I15" s="138"/>
      <c r="J15" s="138"/>
      <c r="K15" s="65"/>
      <c r="L15" s="65"/>
      <c r="M15" s="140"/>
      <c r="N15" s="81">
        <v>11</v>
      </c>
      <c r="O15" s="21">
        <v>60</v>
      </c>
      <c r="P15" s="79"/>
      <c r="Q15" s="26">
        <v>2648</v>
      </c>
      <c r="R15" s="47"/>
      <c r="S15" s="29" t="s">
        <v>17</v>
      </c>
      <c r="T15" s="45"/>
      <c r="U15" s="45"/>
      <c r="V15" s="45"/>
      <c r="W15" s="45"/>
      <c r="X15" s="45"/>
      <c r="Y15" s="29" t="s">
        <v>17</v>
      </c>
      <c r="Z15" s="47"/>
      <c r="AA15" s="26">
        <v>4681</v>
      </c>
      <c r="AB15" s="47"/>
      <c r="AC15" s="21">
        <v>35</v>
      </c>
      <c r="AD15" s="82">
        <v>5</v>
      </c>
      <c r="AE15" s="125"/>
      <c r="AF15" s="65"/>
      <c r="AG15" s="1"/>
      <c r="AH15" s="1"/>
      <c r="AI15" s="1"/>
      <c r="AJ15" s="1"/>
      <c r="AK15" s="1"/>
      <c r="AL15" s="12"/>
      <c r="AM15" s="7"/>
      <c r="AO15" s="2" t="s">
        <v>11</v>
      </c>
      <c r="AP15" s="2" t="s">
        <v>11</v>
      </c>
      <c r="AQ15" s="2" t="s">
        <v>11</v>
      </c>
      <c r="AX15" s="24" t="s">
        <v>50</v>
      </c>
      <c r="AY15" s="20">
        <v>1</v>
      </c>
      <c r="AZ15" s="20">
        <v>1</v>
      </c>
      <c r="BA15" s="19">
        <f>($D$28+$D$29)^-3.424</f>
        <v>4.0432137839229764E-3</v>
      </c>
      <c r="BB15" s="19">
        <f>($D$28+$D$29)^0.209</f>
        <v>1.3998604088681552</v>
      </c>
      <c r="BC15" s="19">
        <f>($D$28+$D$29)^-1.739</f>
        <v>6.0882315657808043E-2</v>
      </c>
      <c r="BD15" s="20">
        <v>1</v>
      </c>
      <c r="BE15" s="20">
        <v>1</v>
      </c>
      <c r="BF15" s="20">
        <v>1</v>
      </c>
      <c r="BG15" s="20">
        <v>1</v>
      </c>
      <c r="BM15" s="24" t="s">
        <v>50</v>
      </c>
      <c r="BN15" s="20">
        <v>1</v>
      </c>
      <c r="BO15" s="20">
        <v>1</v>
      </c>
      <c r="BP15" s="19">
        <f>($D$28+$D$29)^-3.424</f>
        <v>4.0432137839229764E-3</v>
      </c>
      <c r="BQ15" s="19">
        <f>($D$28+$D$29)^0.209</f>
        <v>1.3998604088681552</v>
      </c>
      <c r="BR15" s="19">
        <f>($D$28+$D$29)^-1.739</f>
        <v>6.0882315657808043E-2</v>
      </c>
      <c r="BS15" s="20">
        <v>1</v>
      </c>
      <c r="BT15" s="20">
        <v>1</v>
      </c>
      <c r="BU15" s="20">
        <v>1</v>
      </c>
      <c r="BV15" s="20">
        <v>1</v>
      </c>
      <c r="CB15" s="24" t="s">
        <v>50</v>
      </c>
      <c r="CC15" s="20">
        <v>1</v>
      </c>
      <c r="CD15" s="20">
        <v>1</v>
      </c>
      <c r="CE15" s="19">
        <f>($D$28+$D$29)^-3.424</f>
        <v>4.0432137839229764E-3</v>
      </c>
      <c r="CF15" s="19">
        <f>($D$28+$D$29)^0.209</f>
        <v>1.3998604088681552</v>
      </c>
      <c r="CG15" s="19">
        <f>($D$28+$D$29)^-1.739</f>
        <v>6.0882315657808043E-2</v>
      </c>
      <c r="CH15" s="20">
        <v>1</v>
      </c>
      <c r="CI15" s="20">
        <v>1</v>
      </c>
      <c r="CJ15" s="20">
        <v>1</v>
      </c>
      <c r="CK15" s="20">
        <v>1</v>
      </c>
      <c r="CQ15" s="24" t="s">
        <v>50</v>
      </c>
      <c r="CR15" s="20">
        <v>1</v>
      </c>
      <c r="CS15" s="20">
        <v>1</v>
      </c>
      <c r="CT15" s="19">
        <f>($D$28+$D$29)^-3.424</f>
        <v>4.0432137839229764E-3</v>
      </c>
      <c r="CU15" s="19">
        <f>($D$28+$D$29)^0.209</f>
        <v>1.3998604088681552</v>
      </c>
      <c r="CV15" s="19">
        <f>($D$28+$D$29)^-1.739</f>
        <v>6.0882315657808043E-2</v>
      </c>
      <c r="CW15" s="20">
        <v>1</v>
      </c>
      <c r="CX15" s="20">
        <v>1</v>
      </c>
      <c r="CY15" s="20">
        <v>1</v>
      </c>
      <c r="CZ15" s="20">
        <v>1</v>
      </c>
    </row>
    <row r="16" spans="1:107" ht="45.75" customHeight="1" x14ac:dyDescent="0.2">
      <c r="A16" s="64"/>
      <c r="B16" s="138"/>
      <c r="C16" s="138"/>
      <c r="D16" s="138"/>
      <c r="E16" s="138"/>
      <c r="F16" s="138"/>
      <c r="G16" s="138"/>
      <c r="H16" s="138"/>
      <c r="I16" s="138"/>
      <c r="J16" s="138"/>
      <c r="K16" s="65"/>
      <c r="L16" s="65"/>
      <c r="M16" s="141"/>
      <c r="N16" s="83">
        <v>10</v>
      </c>
      <c r="O16" s="21">
        <v>0</v>
      </c>
      <c r="P16" s="79"/>
      <c r="Q16" s="26">
        <v>195</v>
      </c>
      <c r="R16" s="47"/>
      <c r="S16" s="47"/>
      <c r="T16" s="45"/>
      <c r="U16" s="45"/>
      <c r="V16" s="45"/>
      <c r="W16" s="45"/>
      <c r="X16" s="45"/>
      <c r="Y16" s="45"/>
      <c r="Z16" s="45"/>
      <c r="AA16" s="26">
        <v>3280</v>
      </c>
      <c r="AB16" s="47"/>
      <c r="AC16" s="21">
        <v>0</v>
      </c>
      <c r="AD16" s="84">
        <v>6</v>
      </c>
      <c r="AE16" s="126"/>
      <c r="AF16" s="65"/>
      <c r="AG16" s="1"/>
      <c r="AH16" s="1"/>
      <c r="AI16" s="1"/>
      <c r="AJ16" s="1"/>
      <c r="AK16" s="1"/>
      <c r="AL16" s="12" t="s">
        <v>51</v>
      </c>
      <c r="AM16" s="12" t="s">
        <v>19</v>
      </c>
      <c r="AN16" s="2" t="s">
        <v>20</v>
      </c>
      <c r="AO16" s="13" t="s">
        <v>21</v>
      </c>
      <c r="AP16" s="13" t="s">
        <v>22</v>
      </c>
      <c r="AQ16" s="13" t="s">
        <v>23</v>
      </c>
      <c r="AR16" s="2" t="s">
        <v>24</v>
      </c>
      <c r="AS16" s="2" t="s">
        <v>25</v>
      </c>
      <c r="AT16" s="2" t="s">
        <v>26</v>
      </c>
      <c r="AU16" s="2" t="s">
        <v>27</v>
      </c>
      <c r="AX16" s="24" t="s">
        <v>52</v>
      </c>
      <c r="AY16" s="20">
        <v>1</v>
      </c>
      <c r="AZ16" s="20">
        <v>1</v>
      </c>
      <c r="BA16" s="20">
        <v>1</v>
      </c>
      <c r="BB16" s="20">
        <v>1</v>
      </c>
      <c r="BC16" s="20">
        <v>1</v>
      </c>
      <c r="BD16" s="20">
        <v>1</v>
      </c>
      <c r="BE16" s="19">
        <f>$G$33^0.027</f>
        <v>1.0777331450436709</v>
      </c>
      <c r="BF16" s="20">
        <v>1</v>
      </c>
      <c r="BG16" s="20">
        <v>1</v>
      </c>
      <c r="BM16" s="24" t="s">
        <v>52</v>
      </c>
      <c r="BN16" s="20">
        <v>1</v>
      </c>
      <c r="BO16" s="20">
        <v>1</v>
      </c>
      <c r="BP16" s="20">
        <v>1</v>
      </c>
      <c r="BQ16" s="20">
        <v>1</v>
      </c>
      <c r="BR16" s="20">
        <v>1</v>
      </c>
      <c r="BS16" s="20">
        <v>1</v>
      </c>
      <c r="BT16" s="19">
        <f>$H$33^0.027</f>
        <v>1.0518375253206678</v>
      </c>
      <c r="BU16" s="20">
        <v>1</v>
      </c>
      <c r="BV16" s="20">
        <v>1</v>
      </c>
      <c r="CB16" s="24" t="s">
        <v>52</v>
      </c>
      <c r="CC16" s="20">
        <v>1</v>
      </c>
      <c r="CD16" s="20">
        <v>1</v>
      </c>
      <c r="CE16" s="20">
        <v>1</v>
      </c>
      <c r="CF16" s="20">
        <v>1</v>
      </c>
      <c r="CG16" s="20">
        <v>1</v>
      </c>
      <c r="CH16" s="20">
        <v>1</v>
      </c>
      <c r="CI16" s="19">
        <f>$I$33^0.027</f>
        <v>1.0766215274885318</v>
      </c>
      <c r="CJ16" s="20">
        <v>1</v>
      </c>
      <c r="CK16" s="20">
        <v>1</v>
      </c>
      <c r="CQ16" s="24" t="s">
        <v>52</v>
      </c>
      <c r="CR16" s="20">
        <v>1</v>
      </c>
      <c r="CS16" s="20">
        <v>1</v>
      </c>
      <c r="CT16" s="20">
        <v>1</v>
      </c>
      <c r="CU16" s="20">
        <v>1</v>
      </c>
      <c r="CV16" s="20">
        <v>1</v>
      </c>
      <c r="CW16" s="20">
        <v>1</v>
      </c>
      <c r="CX16" s="19">
        <f>$J$33^0.027</f>
        <v>1.0504964173624836</v>
      </c>
      <c r="CY16" s="20">
        <v>1</v>
      </c>
      <c r="CZ16" s="20">
        <v>1</v>
      </c>
    </row>
    <row r="17" spans="1:104" ht="7.5" customHeight="1" x14ac:dyDescent="0.2">
      <c r="A17" s="64"/>
      <c r="B17" s="48"/>
      <c r="C17" s="48"/>
      <c r="D17" s="48"/>
      <c r="E17" s="48"/>
      <c r="F17" s="48"/>
      <c r="G17" s="48"/>
      <c r="H17" s="48"/>
      <c r="I17" s="48"/>
      <c r="J17" s="48"/>
      <c r="K17" s="65"/>
      <c r="L17" s="65"/>
      <c r="M17" s="65"/>
      <c r="N17" s="45"/>
      <c r="O17" s="45"/>
      <c r="P17" s="45"/>
      <c r="Q17" s="45"/>
      <c r="R17" s="45"/>
      <c r="S17" s="45"/>
      <c r="T17" s="45"/>
      <c r="U17" s="45"/>
      <c r="V17" s="45"/>
      <c r="W17" s="45"/>
      <c r="X17" s="45"/>
      <c r="Y17" s="45"/>
      <c r="Z17" s="45"/>
      <c r="AA17" s="45"/>
      <c r="AB17" s="45"/>
      <c r="AC17" s="45"/>
      <c r="AD17" s="45"/>
      <c r="AE17" s="45"/>
      <c r="AF17" s="65"/>
      <c r="AG17" s="1"/>
      <c r="AH17" s="1"/>
      <c r="AI17" s="1"/>
      <c r="AJ17" s="1"/>
      <c r="AK17" s="1"/>
      <c r="AL17" s="13" t="s">
        <v>53</v>
      </c>
      <c r="AM17" s="30">
        <v>8.5399999999999996E-6</v>
      </c>
      <c r="AN17" s="3">
        <v>0.76600000000000001</v>
      </c>
      <c r="AO17" s="3">
        <v>0.27599999999999997</v>
      </c>
      <c r="AP17" s="18">
        <v>1.9120000000000001E-4</v>
      </c>
      <c r="AQ17" s="3">
        <v>0.78400000000000003</v>
      </c>
      <c r="AR17" s="18">
        <v>5.3E-3</v>
      </c>
      <c r="AS17" s="18">
        <v>3.7399999999999998E-4</v>
      </c>
      <c r="AT17" s="18">
        <v>7.6799999999999993E-6</v>
      </c>
      <c r="AU17" s="18">
        <v>6.1999999999999998E-3</v>
      </c>
      <c r="AX17" s="24" t="s">
        <v>54</v>
      </c>
      <c r="AY17" s="20">
        <v>1</v>
      </c>
      <c r="AZ17" s="20">
        <v>1</v>
      </c>
      <c r="BA17" s="20">
        <v>1</v>
      </c>
      <c r="BB17" s="20">
        <v>1</v>
      </c>
      <c r="BC17" s="20">
        <v>1</v>
      </c>
      <c r="BD17" s="20">
        <v>1</v>
      </c>
      <c r="BE17" s="20">
        <v>1</v>
      </c>
      <c r="BF17" s="20">
        <v>1</v>
      </c>
      <c r="BG17" s="19">
        <f>$D$29^0.837</f>
        <v>3.1909809592361311</v>
      </c>
      <c r="BM17" s="24" t="s">
        <v>54</v>
      </c>
      <c r="BN17" s="20">
        <v>1</v>
      </c>
      <c r="BO17" s="20">
        <v>1</v>
      </c>
      <c r="BP17" s="20">
        <v>1</v>
      </c>
      <c r="BQ17" s="20">
        <v>1</v>
      </c>
      <c r="BR17" s="20">
        <v>1</v>
      </c>
      <c r="BS17" s="20">
        <v>1</v>
      </c>
      <c r="BT17" s="20">
        <v>1</v>
      </c>
      <c r="BU17" s="20">
        <v>1</v>
      </c>
      <c r="BV17" s="19">
        <f>$D$29^0.837</f>
        <v>3.1909809592361311</v>
      </c>
      <c r="CB17" s="24" t="s">
        <v>54</v>
      </c>
      <c r="CC17" s="20">
        <v>1</v>
      </c>
      <c r="CD17" s="20">
        <v>1</v>
      </c>
      <c r="CE17" s="20">
        <v>1</v>
      </c>
      <c r="CF17" s="20">
        <v>1</v>
      </c>
      <c r="CG17" s="20">
        <v>1</v>
      </c>
      <c r="CH17" s="20">
        <v>1</v>
      </c>
      <c r="CI17" s="20">
        <v>1</v>
      </c>
      <c r="CJ17" s="20">
        <v>1</v>
      </c>
      <c r="CK17" s="19">
        <f>$D$29^0.837</f>
        <v>3.1909809592361311</v>
      </c>
      <c r="CQ17" s="24" t="s">
        <v>54</v>
      </c>
      <c r="CR17" s="20">
        <v>1</v>
      </c>
      <c r="CS17" s="20">
        <v>1</v>
      </c>
      <c r="CT17" s="20">
        <v>1</v>
      </c>
      <c r="CU17" s="20">
        <v>1</v>
      </c>
      <c r="CV17" s="20">
        <v>1</v>
      </c>
      <c r="CW17" s="20">
        <v>1</v>
      </c>
      <c r="CX17" s="20">
        <v>1</v>
      </c>
      <c r="CY17" s="20">
        <v>1</v>
      </c>
      <c r="CZ17" s="19">
        <f>$D$29^0.837</f>
        <v>3.1909809592361311</v>
      </c>
    </row>
    <row r="18" spans="1:104" s="32" customFormat="1" x14ac:dyDescent="0.2">
      <c r="A18" s="45"/>
      <c r="B18" s="48"/>
      <c r="C18" s="48"/>
      <c r="D18" s="48"/>
      <c r="E18" s="48"/>
      <c r="F18" s="48"/>
      <c r="G18" s="48"/>
      <c r="H18" s="48"/>
      <c r="I18" s="48"/>
      <c r="J18" s="48"/>
      <c r="K18" s="85"/>
      <c r="L18" s="85"/>
      <c r="M18" s="85"/>
      <c r="N18" s="45"/>
      <c r="O18" s="45"/>
      <c r="P18" s="45"/>
      <c r="Q18" s="45"/>
      <c r="R18" s="45"/>
      <c r="S18" s="76" t="s">
        <v>46</v>
      </c>
      <c r="T18" s="45"/>
      <c r="U18" s="45"/>
      <c r="V18" s="29" t="s">
        <v>30</v>
      </c>
      <c r="W18" s="45"/>
      <c r="X18" s="45"/>
      <c r="Y18" s="45"/>
      <c r="Z18" s="45"/>
      <c r="AA18" s="45"/>
      <c r="AB18" s="45"/>
      <c r="AC18" s="45"/>
      <c r="AD18" s="45"/>
      <c r="AE18" s="45"/>
      <c r="AF18" s="65"/>
      <c r="AG18" s="1"/>
      <c r="AH18" s="1"/>
      <c r="AI18" s="1"/>
      <c r="AJ18" s="1"/>
      <c r="AK18" s="1"/>
      <c r="AL18" s="13" t="s">
        <v>55</v>
      </c>
      <c r="AM18" s="31">
        <v>4.16E-6</v>
      </c>
      <c r="AN18" s="32">
        <v>0.82</v>
      </c>
      <c r="AO18" s="32">
        <v>0.13159999999999999</v>
      </c>
      <c r="AP18" s="31">
        <v>2.8200000000000002E-4</v>
      </c>
      <c r="AQ18" s="33">
        <v>0.15479999999999999</v>
      </c>
      <c r="AR18" s="31">
        <v>4.8800000000000007E-3</v>
      </c>
      <c r="AS18" s="31">
        <v>2.92E-4</v>
      </c>
      <c r="AT18" s="31">
        <v>2.5600000000000001E-6</v>
      </c>
      <c r="AU18" s="31">
        <v>2.06E-2</v>
      </c>
      <c r="AX18" s="34" t="s">
        <v>56</v>
      </c>
      <c r="AY18" s="19">
        <f>IF($D$26=$AL$28,0.69,1)</f>
        <v>1</v>
      </c>
      <c r="AZ18" s="20">
        <v>1</v>
      </c>
      <c r="BA18" s="19">
        <f>IF($D$26=$AL$28,5.256,1)</f>
        <v>1</v>
      </c>
      <c r="BB18" s="20">
        <v>1</v>
      </c>
      <c r="BC18" s="20">
        <v>1</v>
      </c>
      <c r="BD18" s="19">
        <f>IF($D$26=$AL$28,2.47,1)</f>
        <v>1</v>
      </c>
      <c r="BE18" s="19">
        <f>IF($D$26=$AL$28,1.21,1)</f>
        <v>1</v>
      </c>
      <c r="BF18" s="19">
        <f>IF($D$26=$AL$28,0.741,1)</f>
        <v>1</v>
      </c>
      <c r="BG18" s="20">
        <v>1</v>
      </c>
      <c r="BM18" s="34" t="s">
        <v>56</v>
      </c>
      <c r="BN18" s="19">
        <f>IF($D$26=$AL$28,0.69,1)</f>
        <v>1</v>
      </c>
      <c r="BO18" s="20">
        <v>1</v>
      </c>
      <c r="BP18" s="19">
        <f>IF($D$26=$AL$28,5.256,1)</f>
        <v>1</v>
      </c>
      <c r="BQ18" s="20">
        <v>1</v>
      </c>
      <c r="BR18" s="20">
        <v>1</v>
      </c>
      <c r="BS18" s="19">
        <f>IF($D$26=$AL$28,2.47,1)</f>
        <v>1</v>
      </c>
      <c r="BT18" s="19">
        <f>IF($D$26=$AL$28,1.21,1)</f>
        <v>1</v>
      </c>
      <c r="BU18" s="19">
        <f>IF($D$26=$AL$28,0.741,1)</f>
        <v>1</v>
      </c>
      <c r="BV18" s="20">
        <v>1</v>
      </c>
      <c r="CB18" s="34" t="s">
        <v>56</v>
      </c>
      <c r="CC18" s="19">
        <f>IF($D$26=$AL$28,0.69,1)</f>
        <v>1</v>
      </c>
      <c r="CD18" s="20">
        <v>1</v>
      </c>
      <c r="CE18" s="19">
        <f>IF($D$26=$AL$28,5.256,1)</f>
        <v>1</v>
      </c>
      <c r="CF18" s="20">
        <v>1</v>
      </c>
      <c r="CG18" s="20">
        <v>1</v>
      </c>
      <c r="CH18" s="19">
        <f>IF($D$26=$AL$28,2.47,1)</f>
        <v>1</v>
      </c>
      <c r="CI18" s="19">
        <f>IF($D$26=$AL$28,1.21,1)</f>
        <v>1</v>
      </c>
      <c r="CJ18" s="19">
        <f>IF($D$26=$AL$28,0.741,1)</f>
        <v>1</v>
      </c>
      <c r="CK18" s="20">
        <v>1</v>
      </c>
      <c r="CQ18" s="34" t="s">
        <v>56</v>
      </c>
      <c r="CR18" s="19">
        <f>IF($D$26=$AL$28,0.69,1)</f>
        <v>1</v>
      </c>
      <c r="CS18" s="20">
        <v>1</v>
      </c>
      <c r="CT18" s="19">
        <f>IF($D$26=$AL$28,5.256,1)</f>
        <v>1</v>
      </c>
      <c r="CU18" s="20">
        <v>1</v>
      </c>
      <c r="CV18" s="20">
        <v>1</v>
      </c>
      <c r="CW18" s="19">
        <f>IF($D$26=$AL$28,2.47,1)</f>
        <v>1</v>
      </c>
      <c r="CX18" s="19">
        <f>IF($D$26=$AL$28,1.21,1)</f>
        <v>1</v>
      </c>
      <c r="CY18" s="19">
        <f>IF($D$26=$AL$28,0.741,1)</f>
        <v>1</v>
      </c>
      <c r="CZ18" s="20">
        <v>1</v>
      </c>
    </row>
    <row r="19" spans="1:104" ht="7.5" customHeight="1" x14ac:dyDescent="0.2">
      <c r="A19" s="45"/>
      <c r="B19" s="64"/>
      <c r="C19" s="64"/>
      <c r="D19" s="64"/>
      <c r="E19" s="64"/>
      <c r="F19" s="64"/>
      <c r="G19" s="64"/>
      <c r="H19" s="64"/>
      <c r="I19" s="64"/>
      <c r="J19" s="64"/>
      <c r="K19" s="85"/>
      <c r="L19" s="85"/>
      <c r="M19" s="85"/>
      <c r="N19" s="45"/>
      <c r="O19" s="45"/>
      <c r="P19" s="45"/>
      <c r="Q19" s="45"/>
      <c r="R19" s="45"/>
      <c r="S19" s="75"/>
      <c r="T19" s="45"/>
      <c r="U19" s="45"/>
      <c r="V19" s="46"/>
      <c r="W19" s="45"/>
      <c r="X19" s="45"/>
      <c r="Y19" s="45"/>
      <c r="Z19" s="45"/>
      <c r="AA19" s="45"/>
      <c r="AB19" s="45"/>
      <c r="AC19" s="45"/>
      <c r="AD19" s="45"/>
      <c r="AE19" s="45"/>
      <c r="AF19" s="65"/>
      <c r="AG19" s="1"/>
      <c r="AH19" s="1"/>
      <c r="AI19" s="1"/>
      <c r="AJ19" s="1"/>
      <c r="AK19" s="1"/>
      <c r="AL19" s="8" t="s">
        <v>57</v>
      </c>
      <c r="AM19" s="18">
        <v>1.736E-5</v>
      </c>
      <c r="AN19" s="3">
        <v>0.88200000000000001</v>
      </c>
      <c r="AO19" s="3">
        <v>0.86799999999999999</v>
      </c>
      <c r="AP19" s="18">
        <v>2.2399999999999997E-4</v>
      </c>
      <c r="AQ19" s="18">
        <v>0.15479999999999999</v>
      </c>
      <c r="AR19" s="18">
        <v>1.8239999999999999E-2</v>
      </c>
      <c r="AS19" s="18">
        <v>4.64E-4</v>
      </c>
      <c r="AT19" s="18">
        <v>1.06E-5</v>
      </c>
      <c r="AU19" s="18">
        <v>2.18E-2</v>
      </c>
      <c r="AX19" s="24" t="s">
        <v>58</v>
      </c>
      <c r="AY19" s="19">
        <f>IF($G$49="Yes",0.74,1)</f>
        <v>1</v>
      </c>
      <c r="AZ19" s="20">
        <v>1</v>
      </c>
      <c r="BA19" s="20">
        <v>1</v>
      </c>
      <c r="BB19" s="20">
        <v>1</v>
      </c>
      <c r="BC19" s="20">
        <v>1</v>
      </c>
      <c r="BD19" s="20">
        <v>1</v>
      </c>
      <c r="BE19" s="20">
        <v>1</v>
      </c>
      <c r="BF19" s="20">
        <v>1</v>
      </c>
      <c r="BG19" s="20">
        <v>1</v>
      </c>
      <c r="BM19" s="24" t="s">
        <v>58</v>
      </c>
      <c r="BN19" s="19">
        <f>IF($H$49="Yes",0.74,1)</f>
        <v>1</v>
      </c>
      <c r="BO19" s="20">
        <v>1</v>
      </c>
      <c r="BP19" s="20">
        <v>1</v>
      </c>
      <c r="BQ19" s="20">
        <v>1</v>
      </c>
      <c r="BR19" s="20">
        <v>1</v>
      </c>
      <c r="BS19" s="20">
        <v>1</v>
      </c>
      <c r="BT19" s="20">
        <v>1</v>
      </c>
      <c r="BU19" s="20">
        <v>1</v>
      </c>
      <c r="BV19" s="20">
        <v>1</v>
      </c>
      <c r="CB19" s="24" t="s">
        <v>58</v>
      </c>
      <c r="CC19" s="19">
        <f>IF($I$49="Yes",0.74,1)</f>
        <v>1</v>
      </c>
      <c r="CD19" s="20">
        <v>1</v>
      </c>
      <c r="CE19" s="20">
        <v>1</v>
      </c>
      <c r="CF19" s="20">
        <v>1</v>
      </c>
      <c r="CG19" s="20">
        <v>1</v>
      </c>
      <c r="CH19" s="20">
        <v>1</v>
      </c>
      <c r="CI19" s="20">
        <v>1</v>
      </c>
      <c r="CJ19" s="20">
        <v>1</v>
      </c>
      <c r="CK19" s="20">
        <v>1</v>
      </c>
      <c r="CQ19" s="24" t="s">
        <v>58</v>
      </c>
      <c r="CR19" s="19">
        <f>IF($J$49="Yes",0.74,1)</f>
        <v>1</v>
      </c>
      <c r="CS19" s="20">
        <v>1</v>
      </c>
      <c r="CT19" s="20">
        <v>1</v>
      </c>
      <c r="CU19" s="20">
        <v>1</v>
      </c>
      <c r="CV19" s="20">
        <v>1</v>
      </c>
      <c r="CW19" s="20">
        <v>1</v>
      </c>
      <c r="CX19" s="20">
        <v>1</v>
      </c>
      <c r="CY19" s="20">
        <v>1</v>
      </c>
      <c r="CZ19" s="20">
        <v>1</v>
      </c>
    </row>
    <row r="20" spans="1:104" x14ac:dyDescent="0.2">
      <c r="A20" s="45"/>
      <c r="B20" s="64"/>
      <c r="C20" s="64"/>
      <c r="D20" s="64"/>
      <c r="E20" s="64"/>
      <c r="F20" s="64"/>
      <c r="G20" s="64"/>
      <c r="H20" s="64"/>
      <c r="I20" s="64"/>
      <c r="J20" s="64"/>
      <c r="K20" s="85"/>
      <c r="L20" s="85"/>
      <c r="M20" s="85"/>
      <c r="N20" s="45"/>
      <c r="O20" s="45"/>
      <c r="P20" s="45"/>
      <c r="Q20" s="45"/>
      <c r="R20" s="45"/>
      <c r="S20" s="76" t="s">
        <v>42</v>
      </c>
      <c r="T20" s="45"/>
      <c r="U20" s="26">
        <v>658</v>
      </c>
      <c r="V20" s="26">
        <v>20099</v>
      </c>
      <c r="W20" s="26">
        <v>2126</v>
      </c>
      <c r="X20" s="46"/>
      <c r="Y20" s="45"/>
      <c r="Z20" s="45"/>
      <c r="AA20" s="45"/>
      <c r="AB20" s="45"/>
      <c r="AC20" s="45"/>
      <c r="AD20" s="45"/>
      <c r="AE20" s="45"/>
      <c r="AF20" s="65"/>
      <c r="AG20" s="1"/>
      <c r="AH20" s="1"/>
      <c r="AI20" s="1"/>
      <c r="AJ20" s="1"/>
      <c r="AK20" s="1"/>
      <c r="AL20" s="8" t="s">
        <v>59</v>
      </c>
      <c r="AM20" s="18">
        <v>2.26E-5</v>
      </c>
      <c r="AN20" s="3">
        <v>0.45400000000000001</v>
      </c>
      <c r="AO20" s="3">
        <v>0.27200000000000002</v>
      </c>
      <c r="AP20" s="18">
        <v>1.8579999999999998E-3</v>
      </c>
      <c r="AQ20" s="33">
        <v>0.15479999999999999</v>
      </c>
      <c r="AR20" s="18">
        <v>2.6199999999999999E-3</v>
      </c>
      <c r="AS20" s="18">
        <v>4.0400000000000002E-3</v>
      </c>
      <c r="AT20" s="18">
        <v>1.188E-5</v>
      </c>
      <c r="AU20" s="18">
        <v>3.8600000000000001E-3</v>
      </c>
      <c r="AX20" s="24" t="s">
        <v>60</v>
      </c>
      <c r="AY20" s="19">
        <f>IF($G$48="Yes",1.31,1)</f>
        <v>1.31</v>
      </c>
      <c r="AZ20" s="20">
        <v>1</v>
      </c>
      <c r="BA20" s="20">
        <v>1</v>
      </c>
      <c r="BB20" s="20">
        <v>1</v>
      </c>
      <c r="BC20" s="20">
        <v>1</v>
      </c>
      <c r="BD20" s="20">
        <v>1</v>
      </c>
      <c r="BE20" s="19">
        <f>IF($G$48="Yes",0.71,1)</f>
        <v>0.71</v>
      </c>
      <c r="BF20" s="20">
        <v>1</v>
      </c>
      <c r="BG20" s="19">
        <f>IF($G$48="Yes",1.24,1)</f>
        <v>1.24</v>
      </c>
      <c r="BM20" s="24" t="s">
        <v>60</v>
      </c>
      <c r="BN20" s="19">
        <f>IF($H$48="Yes",1.31,1)</f>
        <v>1.31</v>
      </c>
      <c r="BO20" s="20">
        <v>1</v>
      </c>
      <c r="BP20" s="20">
        <v>1</v>
      </c>
      <c r="BQ20" s="20">
        <v>1</v>
      </c>
      <c r="BR20" s="20">
        <v>1</v>
      </c>
      <c r="BS20" s="20">
        <v>1</v>
      </c>
      <c r="BT20" s="19">
        <f>IF($H$48="Yes",0.71,1)</f>
        <v>0.71</v>
      </c>
      <c r="BU20" s="20">
        <v>1</v>
      </c>
      <c r="BV20" s="19">
        <f>IF($H$48="Yes",1.24,1)</f>
        <v>1.24</v>
      </c>
      <c r="CB20" s="24" t="s">
        <v>60</v>
      </c>
      <c r="CC20" s="19">
        <f>IF($I$48="Yes",1.31,1)</f>
        <v>1.31</v>
      </c>
      <c r="CD20" s="20">
        <v>1</v>
      </c>
      <c r="CE20" s="20">
        <v>1</v>
      </c>
      <c r="CF20" s="20">
        <v>1</v>
      </c>
      <c r="CG20" s="20">
        <v>1</v>
      </c>
      <c r="CH20" s="20">
        <v>1</v>
      </c>
      <c r="CI20" s="19">
        <f>IF($I$48="Yes",0.71,1)</f>
        <v>0.71</v>
      </c>
      <c r="CJ20" s="20">
        <v>1</v>
      </c>
      <c r="CK20" s="19">
        <f>IF($I$48="Yes",1.24,1)</f>
        <v>1.24</v>
      </c>
      <c r="CQ20" s="24" t="s">
        <v>60</v>
      </c>
      <c r="CR20" s="19">
        <f>IF($J$48="Yes",1.31,1)</f>
        <v>1.31</v>
      </c>
      <c r="CS20" s="20">
        <v>1</v>
      </c>
      <c r="CT20" s="20">
        <v>1</v>
      </c>
      <c r="CU20" s="20">
        <v>1</v>
      </c>
      <c r="CV20" s="20">
        <v>1</v>
      </c>
      <c r="CW20" s="20">
        <v>1</v>
      </c>
      <c r="CX20" s="19">
        <f>IF($J$48="Yes",0.71,1)</f>
        <v>0.71</v>
      </c>
      <c r="CY20" s="20">
        <v>1</v>
      </c>
      <c r="CZ20" s="19">
        <f>IF($J$48="Yes",1.24,1)</f>
        <v>1.24</v>
      </c>
    </row>
    <row r="21" spans="1:104" ht="7.5" customHeight="1" x14ac:dyDescent="0.2">
      <c r="A21" s="45"/>
      <c r="B21" s="64"/>
      <c r="C21" s="64"/>
      <c r="D21" s="64"/>
      <c r="E21" s="64"/>
      <c r="F21" s="64"/>
      <c r="G21" s="64"/>
      <c r="H21" s="64"/>
      <c r="I21" s="64"/>
      <c r="J21" s="64"/>
      <c r="K21" s="85"/>
      <c r="L21" s="85"/>
      <c r="M21" s="85"/>
      <c r="N21" s="45"/>
      <c r="O21" s="45"/>
      <c r="P21" s="45"/>
      <c r="Q21" s="45"/>
      <c r="R21" s="45"/>
      <c r="S21" s="75"/>
      <c r="T21" s="45"/>
      <c r="U21" s="49"/>
      <c r="V21" s="49"/>
      <c r="W21" s="49"/>
      <c r="X21" s="46"/>
      <c r="Y21" s="45"/>
      <c r="Z21" s="45"/>
      <c r="AA21" s="45"/>
      <c r="AB21" s="45"/>
      <c r="AC21" s="45"/>
      <c r="AD21" s="45"/>
      <c r="AE21" s="45"/>
      <c r="AF21" s="65"/>
      <c r="AG21" s="1"/>
      <c r="AH21" s="1"/>
      <c r="AI21" s="1"/>
      <c r="AJ21" s="1"/>
      <c r="AK21" s="1"/>
      <c r="AL21" s="8" t="s">
        <v>61</v>
      </c>
      <c r="AM21" s="18">
        <v>3.0800000000000003E-5</v>
      </c>
      <c r="AN21" s="3">
        <v>0.83200000000000007</v>
      </c>
      <c r="AO21" s="3">
        <v>1.59</v>
      </c>
      <c r="AP21" s="18">
        <v>6.1199999999999991E-4</v>
      </c>
      <c r="AQ21" s="33">
        <v>0.15479999999999999</v>
      </c>
      <c r="AR21" s="18">
        <v>2.2200000000000001E-2</v>
      </c>
      <c r="AS21" s="18">
        <v>4.7600000000000002E-4</v>
      </c>
      <c r="AT21" s="18">
        <v>1.7799999999999999E-5</v>
      </c>
      <c r="AU21" s="18">
        <v>4.48E-2</v>
      </c>
      <c r="AX21" s="24" t="s">
        <v>62</v>
      </c>
      <c r="AY21" s="19">
        <f>IF($G$37="Yes",1.19,1)</f>
        <v>1</v>
      </c>
      <c r="AZ21" s="20">
        <v>1</v>
      </c>
      <c r="BA21" s="20">
        <v>1</v>
      </c>
      <c r="BB21" s="20">
        <v>1</v>
      </c>
      <c r="BC21" s="20">
        <v>1</v>
      </c>
      <c r="BD21" s="20">
        <v>1</v>
      </c>
      <c r="BE21" s="19">
        <f>IF($G$37="Yes",1.26,1)</f>
        <v>1</v>
      </c>
      <c r="BF21" s="19">
        <f>IF($G$37="Yes",1.321,1)</f>
        <v>1</v>
      </c>
      <c r="BG21" s="20">
        <v>1</v>
      </c>
      <c r="BM21" s="24" t="s">
        <v>62</v>
      </c>
      <c r="BN21" s="19">
        <f>IF($H$37="Yes",1.19,1)</f>
        <v>1.19</v>
      </c>
      <c r="BO21" s="20">
        <v>1</v>
      </c>
      <c r="BP21" s="20">
        <v>1</v>
      </c>
      <c r="BQ21" s="20">
        <v>1</v>
      </c>
      <c r="BR21" s="20">
        <v>1</v>
      </c>
      <c r="BS21" s="20">
        <v>1</v>
      </c>
      <c r="BT21" s="19">
        <f>IF($H$37="Yes",1.26,1)</f>
        <v>1.26</v>
      </c>
      <c r="BU21" s="19">
        <f>IF($H$37="Yes",1.321,1)</f>
        <v>1.321</v>
      </c>
      <c r="BV21" s="20">
        <v>1</v>
      </c>
      <c r="CB21" s="24" t="s">
        <v>62</v>
      </c>
      <c r="CC21" s="19">
        <f>IF($I$37="Yes",1.19,1)</f>
        <v>1</v>
      </c>
      <c r="CD21" s="20">
        <v>1</v>
      </c>
      <c r="CE21" s="20">
        <v>1</v>
      </c>
      <c r="CF21" s="20">
        <v>1</v>
      </c>
      <c r="CG21" s="20">
        <v>1</v>
      </c>
      <c r="CH21" s="20">
        <v>1</v>
      </c>
      <c r="CI21" s="19">
        <f>IF($I$37="Yes",1.26,1)</f>
        <v>1</v>
      </c>
      <c r="CJ21" s="19">
        <f>IF($I$37="Yes",1.321,1)</f>
        <v>1</v>
      </c>
      <c r="CK21" s="20">
        <v>1</v>
      </c>
      <c r="CQ21" s="24" t="s">
        <v>62</v>
      </c>
      <c r="CR21" s="19">
        <f>IF($J$37="Yes",1.19,1)</f>
        <v>1.19</v>
      </c>
      <c r="CS21" s="20">
        <v>1</v>
      </c>
      <c r="CT21" s="20">
        <v>1</v>
      </c>
      <c r="CU21" s="20">
        <v>1</v>
      </c>
      <c r="CV21" s="20">
        <v>1</v>
      </c>
      <c r="CW21" s="20">
        <v>1</v>
      </c>
      <c r="CX21" s="19">
        <f>IF($J$37="Yes",1.26,1)</f>
        <v>1.26</v>
      </c>
      <c r="CY21" s="19">
        <f>IF($J$37="Yes",1.321,1)</f>
        <v>1.321</v>
      </c>
      <c r="CZ21" s="20">
        <v>1</v>
      </c>
    </row>
    <row r="22" spans="1:104" x14ac:dyDescent="0.2">
      <c r="A22" s="45"/>
      <c r="B22" s="117" t="s">
        <v>63</v>
      </c>
      <c r="C22" s="118"/>
      <c r="D22" s="118"/>
      <c r="E22" s="118"/>
      <c r="F22" s="50"/>
      <c r="G22" s="117" t="s">
        <v>64</v>
      </c>
      <c r="H22" s="118"/>
      <c r="I22" s="118"/>
      <c r="J22" s="118"/>
      <c r="K22" s="51"/>
      <c r="L22" s="51"/>
      <c r="M22" s="51"/>
      <c r="N22" s="51"/>
      <c r="O22" s="52"/>
      <c r="P22" s="52"/>
      <c r="Q22" s="45"/>
      <c r="R22" s="45"/>
      <c r="S22" s="76" t="s">
        <v>1</v>
      </c>
      <c r="T22" s="45"/>
      <c r="U22" s="21">
        <v>20</v>
      </c>
      <c r="V22" s="21">
        <v>80</v>
      </c>
      <c r="W22" s="21">
        <v>0</v>
      </c>
      <c r="X22" s="46"/>
      <c r="Y22" s="45"/>
      <c r="Z22" s="45"/>
      <c r="AA22" s="45"/>
      <c r="AB22" s="45"/>
      <c r="AC22" s="45"/>
      <c r="AD22" s="45"/>
      <c r="AE22" s="45"/>
      <c r="AF22" s="65"/>
      <c r="AG22" s="1"/>
      <c r="AH22" s="1"/>
      <c r="AI22" s="1"/>
      <c r="AJ22" s="1"/>
      <c r="AK22" s="1"/>
      <c r="AL22" s="8" t="s">
        <v>65</v>
      </c>
      <c r="AM22" s="18">
        <v>8.2200000000000009E-6</v>
      </c>
      <c r="AN22" s="3">
        <v>0.79</v>
      </c>
      <c r="AO22" s="3">
        <v>0.25</v>
      </c>
      <c r="AP22" s="18">
        <v>2.32E-4</v>
      </c>
      <c r="AQ22" s="3">
        <v>0.67199999999999993</v>
      </c>
      <c r="AR22" s="18">
        <v>6.0800000000000003E-3</v>
      </c>
      <c r="AS22" s="18">
        <v>3.1E-4</v>
      </c>
      <c r="AT22" s="18">
        <v>6.7799999999999995E-6</v>
      </c>
      <c r="AU22" s="33">
        <v>6.1999999999999998E-3</v>
      </c>
      <c r="AX22" s="24" t="s">
        <v>66</v>
      </c>
      <c r="AY22" s="19">
        <f>IF($G$40="Yes",0.67,1)</f>
        <v>0.67</v>
      </c>
      <c r="AZ22" s="19">
        <f>IF($G$40="Yes",1.22,1)</f>
        <v>1.22</v>
      </c>
      <c r="BA22" s="20">
        <v>1</v>
      </c>
      <c r="BB22" s="20">
        <v>1</v>
      </c>
      <c r="BC22" s="20">
        <v>1</v>
      </c>
      <c r="BD22" s="20">
        <v>1</v>
      </c>
      <c r="BE22" s="20">
        <v>1</v>
      </c>
      <c r="BF22" s="19">
        <f>IF($G$40="Yes",0.767,1)</f>
        <v>0.76700000000000002</v>
      </c>
      <c r="BG22" s="19">
        <f>IF($G$40="Yes",0.99,1)</f>
        <v>0.99</v>
      </c>
      <c r="BM22" s="24" t="s">
        <v>66</v>
      </c>
      <c r="BN22" s="19">
        <f>IF($H$40="Yes",0.67,1)</f>
        <v>1</v>
      </c>
      <c r="BO22" s="19">
        <f>IF($H$40="Yes",1.22,1)</f>
        <v>1</v>
      </c>
      <c r="BP22" s="20">
        <v>1</v>
      </c>
      <c r="BQ22" s="20">
        <v>1</v>
      </c>
      <c r="BR22" s="20">
        <v>1</v>
      </c>
      <c r="BS22" s="20">
        <v>1</v>
      </c>
      <c r="BT22" s="20">
        <v>1</v>
      </c>
      <c r="BU22" s="19">
        <f>IF($H$40="Yes",0.767,1)</f>
        <v>1</v>
      </c>
      <c r="BV22" s="19">
        <f>IF($H$40="Yes",0.99,1)</f>
        <v>1</v>
      </c>
      <c r="CB22" s="24" t="s">
        <v>66</v>
      </c>
      <c r="CC22" s="19">
        <f>IF($I$40="Yes",0.67,1)</f>
        <v>0.67</v>
      </c>
      <c r="CD22" s="19">
        <f>IF($I$40="Yes",1.22,1)</f>
        <v>1.22</v>
      </c>
      <c r="CE22" s="20">
        <v>1</v>
      </c>
      <c r="CF22" s="20">
        <v>1</v>
      </c>
      <c r="CG22" s="20">
        <v>1</v>
      </c>
      <c r="CH22" s="20">
        <v>1</v>
      </c>
      <c r="CI22" s="20">
        <v>1</v>
      </c>
      <c r="CJ22" s="19">
        <f>IF($I$40="Yes",0.767,1)</f>
        <v>0.76700000000000002</v>
      </c>
      <c r="CK22" s="19">
        <f>IF($I$40="Yes",0.99,1)</f>
        <v>0.99</v>
      </c>
      <c r="CQ22" s="24" t="s">
        <v>66</v>
      </c>
      <c r="CR22" s="19">
        <f>IF($J$40="Yes",0.67,1)</f>
        <v>1</v>
      </c>
      <c r="CS22" s="19">
        <f>IF($J$40="Yes",1.22,1)</f>
        <v>1</v>
      </c>
      <c r="CT22" s="20">
        <v>1</v>
      </c>
      <c r="CU22" s="20">
        <v>1</v>
      </c>
      <c r="CV22" s="20">
        <v>1</v>
      </c>
      <c r="CW22" s="20">
        <v>1</v>
      </c>
      <c r="CX22" s="20">
        <v>1</v>
      </c>
      <c r="CY22" s="19">
        <f>IF($J$40="Yes",0.767,1)</f>
        <v>1</v>
      </c>
      <c r="CZ22" s="19">
        <f>IF($J$40="Yes",0.99,1)</f>
        <v>1</v>
      </c>
    </row>
    <row r="23" spans="1:104" ht="12.75" customHeight="1" x14ac:dyDescent="0.2">
      <c r="A23" s="45"/>
      <c r="B23" s="118"/>
      <c r="C23" s="118"/>
      <c r="D23" s="118"/>
      <c r="E23" s="118"/>
      <c r="F23" s="50"/>
      <c r="G23" s="118"/>
      <c r="H23" s="118"/>
      <c r="I23" s="118"/>
      <c r="J23" s="118"/>
      <c r="K23" s="51"/>
      <c r="L23" s="51"/>
      <c r="M23" s="51"/>
      <c r="N23" s="51"/>
      <c r="O23" s="45"/>
      <c r="P23" s="52"/>
      <c r="Q23" s="45"/>
      <c r="R23" s="45"/>
      <c r="S23" s="45"/>
      <c r="T23" s="45"/>
      <c r="U23" s="86">
        <v>9</v>
      </c>
      <c r="V23" s="87">
        <v>8</v>
      </c>
      <c r="W23" s="88">
        <v>7</v>
      </c>
      <c r="X23" s="75"/>
      <c r="Y23" s="45"/>
      <c r="Z23" s="45"/>
      <c r="AA23" s="75"/>
      <c r="AB23" s="75"/>
      <c r="AC23" s="75"/>
      <c r="AD23" s="75"/>
      <c r="AE23" s="75"/>
      <c r="AF23" s="65"/>
      <c r="AG23" s="1"/>
      <c r="AH23" s="1"/>
      <c r="AI23" s="1"/>
      <c r="AJ23" s="1"/>
      <c r="AK23" s="1"/>
      <c r="AX23" s="24" t="s">
        <v>67</v>
      </c>
      <c r="AY23" s="20">
        <v>1</v>
      </c>
      <c r="AZ23" s="19">
        <f>IF($G$47="Yes",0.71,1)</f>
        <v>0.71</v>
      </c>
      <c r="BA23" s="20">
        <v>1</v>
      </c>
      <c r="BB23" s="20">
        <v>1</v>
      </c>
      <c r="BC23" s="20">
        <v>1</v>
      </c>
      <c r="BD23" s="20">
        <v>1</v>
      </c>
      <c r="BE23" s="20">
        <v>1</v>
      </c>
      <c r="BF23" s="20">
        <v>1</v>
      </c>
      <c r="BG23" s="19">
        <f>IF($G$47="Yes",0.63,1)</f>
        <v>0.63</v>
      </c>
      <c r="BM23" s="24" t="s">
        <v>67</v>
      </c>
      <c r="BN23" s="20">
        <v>1</v>
      </c>
      <c r="BO23" s="19">
        <f>IF($H$47="Yes",0.71,1)</f>
        <v>0.71</v>
      </c>
      <c r="BP23" s="20">
        <v>1</v>
      </c>
      <c r="BQ23" s="20">
        <v>1</v>
      </c>
      <c r="BR23" s="20">
        <v>1</v>
      </c>
      <c r="BS23" s="20">
        <v>1</v>
      </c>
      <c r="BT23" s="20">
        <v>1</v>
      </c>
      <c r="BU23" s="20">
        <v>1</v>
      </c>
      <c r="BV23" s="19">
        <f>IF($H$47="Yes",0.63,1)</f>
        <v>0.63</v>
      </c>
      <c r="CB23" s="24" t="s">
        <v>67</v>
      </c>
      <c r="CC23" s="20">
        <v>1</v>
      </c>
      <c r="CD23" s="19">
        <f>IF($I$47="Yes",0.71,1)</f>
        <v>0.71</v>
      </c>
      <c r="CE23" s="20">
        <v>1</v>
      </c>
      <c r="CF23" s="20">
        <v>1</v>
      </c>
      <c r="CG23" s="20">
        <v>1</v>
      </c>
      <c r="CH23" s="20">
        <v>1</v>
      </c>
      <c r="CI23" s="20">
        <v>1</v>
      </c>
      <c r="CJ23" s="20">
        <v>1</v>
      </c>
      <c r="CK23" s="19">
        <f>IF($I$47="Yes",0.63,1)</f>
        <v>0.63</v>
      </c>
      <c r="CQ23" s="24" t="s">
        <v>67</v>
      </c>
      <c r="CR23" s="20">
        <v>1</v>
      </c>
      <c r="CS23" s="19">
        <f>IF($J$47="Yes",0.71,1)</f>
        <v>0.71</v>
      </c>
      <c r="CT23" s="20">
        <v>1</v>
      </c>
      <c r="CU23" s="20">
        <v>1</v>
      </c>
      <c r="CV23" s="20">
        <v>1</v>
      </c>
      <c r="CW23" s="20">
        <v>1</v>
      </c>
      <c r="CX23" s="20">
        <v>1</v>
      </c>
      <c r="CY23" s="20">
        <v>1</v>
      </c>
      <c r="CZ23" s="19">
        <f>IF($J$47="Yes",0.63,1)</f>
        <v>0.63</v>
      </c>
    </row>
    <row r="24" spans="1:104" ht="12.75" customHeight="1" x14ac:dyDescent="0.2">
      <c r="A24" s="45"/>
      <c r="B24" s="119" t="s">
        <v>68</v>
      </c>
      <c r="C24" s="120"/>
      <c r="D24" s="121" t="s">
        <v>34</v>
      </c>
      <c r="E24" s="122"/>
      <c r="F24" s="44"/>
      <c r="G24" s="119" t="s">
        <v>10</v>
      </c>
      <c r="H24" s="120"/>
      <c r="I24" s="123" t="s">
        <v>160</v>
      </c>
      <c r="J24" s="122"/>
      <c r="K24" s="53"/>
      <c r="L24" s="53"/>
      <c r="M24" s="53"/>
      <c r="N24" s="53"/>
      <c r="O24" s="45"/>
      <c r="P24" s="52"/>
      <c r="Q24" s="45"/>
      <c r="R24" s="64"/>
      <c r="S24" s="64"/>
      <c r="T24" s="64"/>
      <c r="U24" s="144" t="str">
        <f>IF(ISBLANK(I26),G26,I26)</f>
        <v>Fitzgerald Avenue South</v>
      </c>
      <c r="V24" s="145"/>
      <c r="W24" s="146"/>
      <c r="X24" s="65"/>
      <c r="Y24" s="65"/>
      <c r="Z24" s="65"/>
      <c r="AA24" s="65"/>
      <c r="AB24" s="65"/>
      <c r="AC24" s="65"/>
      <c r="AD24" s="65"/>
      <c r="AE24" s="65"/>
      <c r="AF24" s="65"/>
      <c r="AG24" s="1"/>
      <c r="AH24" s="1"/>
      <c r="AI24" s="1"/>
      <c r="AJ24" s="1"/>
      <c r="AK24" s="1"/>
      <c r="AX24" s="24" t="s">
        <v>69</v>
      </c>
      <c r="AY24" s="20">
        <v>1</v>
      </c>
      <c r="AZ24" s="19">
        <f>IF($G$38="Yes",0.72,1)</f>
        <v>1</v>
      </c>
      <c r="BA24" s="20">
        <v>1</v>
      </c>
      <c r="BB24" s="20">
        <v>1</v>
      </c>
      <c r="BC24" s="20">
        <v>1</v>
      </c>
      <c r="BD24" s="20">
        <v>1</v>
      </c>
      <c r="BE24" s="20">
        <v>1</v>
      </c>
      <c r="BF24" s="20">
        <v>1</v>
      </c>
      <c r="BG24" s="20">
        <v>1</v>
      </c>
      <c r="BM24" s="24" t="s">
        <v>69</v>
      </c>
      <c r="BN24" s="20">
        <v>1</v>
      </c>
      <c r="BO24" s="19">
        <f>IF($H$38="Yes",0.72,1)</f>
        <v>0.72</v>
      </c>
      <c r="BP24" s="20">
        <v>1</v>
      </c>
      <c r="BQ24" s="20">
        <v>1</v>
      </c>
      <c r="BR24" s="20">
        <v>1</v>
      </c>
      <c r="BS24" s="20">
        <v>1</v>
      </c>
      <c r="BT24" s="20">
        <v>1</v>
      </c>
      <c r="BU24" s="20">
        <v>1</v>
      </c>
      <c r="BV24" s="20">
        <v>1</v>
      </c>
      <c r="CB24" s="24" t="s">
        <v>69</v>
      </c>
      <c r="CC24" s="20">
        <v>1</v>
      </c>
      <c r="CD24" s="19">
        <f>IF($I$38="Yes",0.72,1)</f>
        <v>1</v>
      </c>
      <c r="CE24" s="20">
        <v>1</v>
      </c>
      <c r="CF24" s="20">
        <v>1</v>
      </c>
      <c r="CG24" s="20">
        <v>1</v>
      </c>
      <c r="CH24" s="20">
        <v>1</v>
      </c>
      <c r="CI24" s="20">
        <v>1</v>
      </c>
      <c r="CJ24" s="20">
        <v>1</v>
      </c>
      <c r="CK24" s="20">
        <v>1</v>
      </c>
      <c r="CQ24" s="24" t="s">
        <v>69</v>
      </c>
      <c r="CR24" s="20">
        <v>1</v>
      </c>
      <c r="CS24" s="19">
        <f>IF($J$38="Yes",0.72,1)</f>
        <v>0.72</v>
      </c>
      <c r="CT24" s="20">
        <v>1</v>
      </c>
      <c r="CU24" s="20">
        <v>1</v>
      </c>
      <c r="CV24" s="20">
        <v>1</v>
      </c>
      <c r="CW24" s="20">
        <v>1</v>
      </c>
      <c r="CX24" s="20">
        <v>1</v>
      </c>
      <c r="CY24" s="20">
        <v>1</v>
      </c>
      <c r="CZ24" s="20">
        <v>1</v>
      </c>
    </row>
    <row r="25" spans="1:104" ht="12.75" customHeight="1" x14ac:dyDescent="0.2">
      <c r="A25" s="45"/>
      <c r="B25" s="119" t="s">
        <v>51</v>
      </c>
      <c r="C25" s="120"/>
      <c r="D25" s="121" t="s">
        <v>57</v>
      </c>
      <c r="E25" s="122"/>
      <c r="F25" s="44"/>
      <c r="G25" s="119" t="s">
        <v>12</v>
      </c>
      <c r="H25" s="120"/>
      <c r="I25" s="123" t="s">
        <v>162</v>
      </c>
      <c r="J25" s="122"/>
      <c r="K25" s="53"/>
      <c r="L25" s="53"/>
      <c r="M25" s="53"/>
      <c r="N25" s="53"/>
      <c r="O25" s="45"/>
      <c r="P25" s="52"/>
      <c r="Q25" s="85"/>
      <c r="R25" s="65"/>
      <c r="S25" s="65"/>
      <c r="T25" s="65"/>
      <c r="U25" s="65"/>
      <c r="V25" s="65"/>
      <c r="W25" s="65"/>
      <c r="X25" s="65"/>
      <c r="Y25" s="65"/>
      <c r="Z25" s="65"/>
      <c r="AA25" s="65"/>
      <c r="AB25" s="65"/>
      <c r="AC25" s="65"/>
      <c r="AD25" s="65"/>
      <c r="AE25" s="65"/>
      <c r="AF25" s="65"/>
      <c r="AG25" s="1"/>
      <c r="AH25" s="1"/>
      <c r="AI25" s="1"/>
      <c r="AJ25" s="1"/>
      <c r="AK25" s="1"/>
      <c r="AX25" s="24" t="s">
        <v>70</v>
      </c>
      <c r="AY25" s="20">
        <v>1</v>
      </c>
      <c r="AZ25" s="19">
        <f>IF($G$41="Yes",1.35,1)</f>
        <v>1</v>
      </c>
      <c r="BA25" s="19">
        <f>IF($G$41="Yes",0.706,1)</f>
        <v>1</v>
      </c>
      <c r="BB25" s="19">
        <f>IF($G$41="Yes",0.753,1)</f>
        <v>1</v>
      </c>
      <c r="BC25" s="19">
        <f>IF($G$41="Yes",1.257,1)</f>
        <v>1</v>
      </c>
      <c r="BD25" s="20">
        <v>1</v>
      </c>
      <c r="BE25" s="20">
        <v>1</v>
      </c>
      <c r="BF25" s="19">
        <f>IF($G$41="Yes",0.513,1)</f>
        <v>1</v>
      </c>
      <c r="BG25" s="20">
        <v>1</v>
      </c>
      <c r="BM25" s="24" t="s">
        <v>70</v>
      </c>
      <c r="BN25" s="20">
        <v>1</v>
      </c>
      <c r="BO25" s="19">
        <f>IF($H$41="Yes",1.35,1)</f>
        <v>1</v>
      </c>
      <c r="BP25" s="19">
        <f>IF($H$41="Yes",0.706,1)</f>
        <v>1</v>
      </c>
      <c r="BQ25" s="19">
        <f>IF($H$41="Yes",0.753,1)</f>
        <v>1</v>
      </c>
      <c r="BR25" s="19">
        <f>IF($H$41="Yes",1.257,1)</f>
        <v>1</v>
      </c>
      <c r="BS25" s="20">
        <v>1</v>
      </c>
      <c r="BT25" s="20">
        <v>1</v>
      </c>
      <c r="BU25" s="19">
        <f>IF($H$41="Yes",0.513,1)</f>
        <v>1</v>
      </c>
      <c r="BV25" s="20">
        <v>1</v>
      </c>
      <c r="CB25" s="24" t="s">
        <v>70</v>
      </c>
      <c r="CC25" s="20">
        <v>1</v>
      </c>
      <c r="CD25" s="19">
        <f>IF($I$41="Yes",1.35,1)</f>
        <v>1</v>
      </c>
      <c r="CE25" s="19">
        <f>IF($I$41="Yes",0.706,1)</f>
        <v>1</v>
      </c>
      <c r="CF25" s="19">
        <f>IF($I$41="Yes",0.753,1)</f>
        <v>1</v>
      </c>
      <c r="CG25" s="19">
        <f>IF($I$41="Yes",1.257,1)</f>
        <v>1</v>
      </c>
      <c r="CH25" s="20">
        <v>1</v>
      </c>
      <c r="CI25" s="20">
        <v>1</v>
      </c>
      <c r="CJ25" s="19">
        <f>IF($I$41="Yes",0.513,1)</f>
        <v>1</v>
      </c>
      <c r="CK25" s="20">
        <v>1</v>
      </c>
      <c r="CQ25" s="24" t="s">
        <v>70</v>
      </c>
      <c r="CR25" s="20">
        <v>1</v>
      </c>
      <c r="CS25" s="19">
        <f>IF($J$41="Yes",1.35,1)</f>
        <v>1</v>
      </c>
      <c r="CT25" s="19">
        <f>IF($J$41="Yes",0.706,1)</f>
        <v>1</v>
      </c>
      <c r="CU25" s="19">
        <f>IF($J$41="Yes",0.753,1)</f>
        <v>1</v>
      </c>
      <c r="CV25" s="19">
        <f>IF($J$41="Yes",1.257,1)</f>
        <v>1</v>
      </c>
      <c r="CW25" s="20">
        <v>1</v>
      </c>
      <c r="CX25" s="20">
        <v>1</v>
      </c>
      <c r="CY25" s="19">
        <f>IF($J$41="Yes",0.513,1)</f>
        <v>1</v>
      </c>
      <c r="CZ25" s="20">
        <v>1</v>
      </c>
    </row>
    <row r="26" spans="1:104" ht="12.75" customHeight="1" x14ac:dyDescent="0.2">
      <c r="A26" s="45"/>
      <c r="B26" s="119" t="s">
        <v>71</v>
      </c>
      <c r="C26" s="120"/>
      <c r="D26" s="121" t="s">
        <v>75</v>
      </c>
      <c r="E26" s="122"/>
      <c r="F26" s="44"/>
      <c r="G26" s="119" t="s">
        <v>13</v>
      </c>
      <c r="H26" s="120"/>
      <c r="I26" s="123" t="s">
        <v>161</v>
      </c>
      <c r="J26" s="122"/>
      <c r="K26" s="53"/>
      <c r="L26" s="53"/>
      <c r="M26" s="53"/>
      <c r="N26" s="53"/>
      <c r="O26" s="45"/>
      <c r="P26" s="52"/>
      <c r="Q26" s="85"/>
      <c r="R26" s="65"/>
      <c r="S26" s="65"/>
      <c r="T26" s="65"/>
      <c r="U26" s="65"/>
      <c r="V26" s="65"/>
      <c r="W26" s="65"/>
      <c r="X26" s="65"/>
      <c r="Y26" s="65"/>
      <c r="Z26" s="65"/>
      <c r="AA26" s="65"/>
      <c r="AB26" s="65"/>
      <c r="AC26" s="65"/>
      <c r="AD26" s="65"/>
      <c r="AE26" s="65"/>
      <c r="AF26" s="65"/>
      <c r="AG26" s="1"/>
      <c r="AH26" s="1"/>
      <c r="AI26" s="1"/>
      <c r="AJ26" s="1"/>
      <c r="AK26" s="1"/>
      <c r="AL26" s="2" t="s">
        <v>71</v>
      </c>
      <c r="AX26" s="24" t="s">
        <v>73</v>
      </c>
      <c r="AY26" s="20">
        <v>1</v>
      </c>
      <c r="AZ26" s="20">
        <v>1</v>
      </c>
      <c r="BA26" s="19">
        <f>IF($G$53="Yes",1.309,1)</f>
        <v>1.3089999999999999</v>
      </c>
      <c r="BB26" s="19">
        <f>IF($G$53="Yes",0.908,1)</f>
        <v>0.90800000000000003</v>
      </c>
      <c r="BC26" s="20">
        <v>1</v>
      </c>
      <c r="BD26" s="19">
        <f>IF($G$53="Yes",1.6,1)</f>
        <v>1.6</v>
      </c>
      <c r="BE26" s="19">
        <f>IF($G$53="Yes",1.27,1)</f>
        <v>1.27</v>
      </c>
      <c r="BF26" s="20">
        <v>1</v>
      </c>
      <c r="BG26" s="20">
        <v>1</v>
      </c>
      <c r="BM26" s="24" t="s">
        <v>73</v>
      </c>
      <c r="BN26" s="20">
        <v>1</v>
      </c>
      <c r="BO26" s="20">
        <v>1</v>
      </c>
      <c r="BP26" s="19">
        <f>IF($H$53="Yes",1.309,1)</f>
        <v>1</v>
      </c>
      <c r="BQ26" s="19">
        <f>IF($H$53="Yes",0.908,1)</f>
        <v>1</v>
      </c>
      <c r="BR26" s="20">
        <v>1</v>
      </c>
      <c r="BS26" s="19">
        <f>IF($H$53="Yes",1.6,1)</f>
        <v>1</v>
      </c>
      <c r="BT26" s="19">
        <f>IF($H$53="Yes",1.27,1)</f>
        <v>1</v>
      </c>
      <c r="BU26" s="20">
        <v>1</v>
      </c>
      <c r="BV26" s="20">
        <v>1</v>
      </c>
      <c r="CB26" s="24" t="s">
        <v>73</v>
      </c>
      <c r="CC26" s="20">
        <v>1</v>
      </c>
      <c r="CD26" s="20">
        <v>1</v>
      </c>
      <c r="CE26" s="19">
        <f>IF($I$53="Yes",1.309,1)</f>
        <v>1</v>
      </c>
      <c r="CF26" s="19">
        <f>IF($I$53="Yes",0.908,1)</f>
        <v>1</v>
      </c>
      <c r="CG26" s="20">
        <v>1</v>
      </c>
      <c r="CH26" s="19">
        <f>IF($I$53="Yes",1.6,1)</f>
        <v>1</v>
      </c>
      <c r="CI26" s="19">
        <f>IF($I$53="Yes",1.27,1)</f>
        <v>1</v>
      </c>
      <c r="CJ26" s="20">
        <v>1</v>
      </c>
      <c r="CK26" s="20">
        <v>1</v>
      </c>
      <c r="CQ26" s="24" t="s">
        <v>73</v>
      </c>
      <c r="CR26" s="20">
        <v>1</v>
      </c>
      <c r="CS26" s="20">
        <v>1</v>
      </c>
      <c r="CT26" s="19">
        <f>IF($J$53="Yes",1.309,1)</f>
        <v>1</v>
      </c>
      <c r="CU26" s="19">
        <f>IF($J$53="Yes",0.908,1)</f>
        <v>1</v>
      </c>
      <c r="CV26" s="20">
        <v>1</v>
      </c>
      <c r="CW26" s="19">
        <f>IF($J$53="Yes",1.6,1)</f>
        <v>1</v>
      </c>
      <c r="CX26" s="19">
        <f>IF($J$53="Yes",1.27,1)</f>
        <v>1</v>
      </c>
      <c r="CY26" s="20">
        <v>1</v>
      </c>
      <c r="CZ26" s="20">
        <v>1</v>
      </c>
    </row>
    <row r="27" spans="1:104" ht="12.75" customHeight="1" x14ac:dyDescent="0.2">
      <c r="A27" s="45"/>
      <c r="B27" s="119" t="s">
        <v>74</v>
      </c>
      <c r="C27" s="120"/>
      <c r="D27" s="142">
        <v>96</v>
      </c>
      <c r="E27" s="143"/>
      <c r="F27" s="44"/>
      <c r="G27" s="119" t="s">
        <v>14</v>
      </c>
      <c r="H27" s="120"/>
      <c r="I27" s="123" t="s">
        <v>162</v>
      </c>
      <c r="J27" s="122"/>
      <c r="K27" s="53"/>
      <c r="L27" s="53"/>
      <c r="M27" s="53"/>
      <c r="N27" s="53"/>
      <c r="O27" s="45"/>
      <c r="P27" s="45"/>
      <c r="Q27" s="45"/>
      <c r="R27" s="64"/>
      <c r="S27" s="64"/>
      <c r="T27" s="64"/>
      <c r="U27" s="64"/>
      <c r="V27" s="65"/>
      <c r="W27" s="65"/>
      <c r="X27" s="65"/>
      <c r="Y27" s="65"/>
      <c r="Z27" s="65"/>
      <c r="AA27" s="65"/>
      <c r="AB27" s="65"/>
      <c r="AC27" s="65"/>
      <c r="AD27" s="65"/>
      <c r="AE27" s="65"/>
      <c r="AF27" s="65"/>
      <c r="AG27" s="1"/>
      <c r="AH27" s="1"/>
      <c r="AI27" s="1"/>
      <c r="AJ27" s="1"/>
      <c r="AK27" s="1"/>
      <c r="AL27" s="8" t="s">
        <v>75</v>
      </c>
      <c r="AX27" s="24" t="s">
        <v>76</v>
      </c>
      <c r="AY27" s="20">
        <v>1</v>
      </c>
      <c r="AZ27" s="20">
        <v>1</v>
      </c>
      <c r="BA27" s="19">
        <f>IF($G$39="Yes",1.585,1)</f>
        <v>1</v>
      </c>
      <c r="BB27" s="19">
        <f>IF($G$39="Yes",1.442,1)</f>
        <v>1</v>
      </c>
      <c r="BC27" s="19">
        <f>IF($G$39="Yes",1.227,1)</f>
        <v>1</v>
      </c>
      <c r="BD27" s="19">
        <f>IF($G$39="Yes",1.17,1)</f>
        <v>1</v>
      </c>
      <c r="BE27" s="19">
        <f>IF($G$39="Yes",1.16,1)</f>
        <v>1</v>
      </c>
      <c r="BF27" s="20">
        <v>1</v>
      </c>
      <c r="BG27" s="20">
        <v>1</v>
      </c>
      <c r="BM27" s="24" t="s">
        <v>76</v>
      </c>
      <c r="BN27" s="20">
        <v>1</v>
      </c>
      <c r="BO27" s="20">
        <v>1</v>
      </c>
      <c r="BP27" s="19">
        <f>IF($H$39="Yes",1.585,1)</f>
        <v>1</v>
      </c>
      <c r="BQ27" s="19">
        <f>IF($H$39="Yes",1.442,1)</f>
        <v>1</v>
      </c>
      <c r="BR27" s="19">
        <f>IF($H$39="Yes",1.227,1)</f>
        <v>1</v>
      </c>
      <c r="BS27" s="19">
        <f>IF($H$39="Yes",1.17,1)</f>
        <v>1</v>
      </c>
      <c r="BT27" s="19">
        <f>IF($H$39="Yes",1.16,1)</f>
        <v>1</v>
      </c>
      <c r="BU27" s="20">
        <v>1</v>
      </c>
      <c r="BV27" s="20">
        <v>1</v>
      </c>
      <c r="CB27" s="24" t="s">
        <v>76</v>
      </c>
      <c r="CC27" s="20">
        <v>1</v>
      </c>
      <c r="CD27" s="20">
        <v>1</v>
      </c>
      <c r="CE27" s="19">
        <f>IF($I$39="Yes",1.585,1)</f>
        <v>1</v>
      </c>
      <c r="CF27" s="19">
        <f>IF($I$39="Yes",1.442,1)</f>
        <v>1</v>
      </c>
      <c r="CG27" s="19">
        <f>IF($I$39="Yes",1.227,1)</f>
        <v>1</v>
      </c>
      <c r="CH27" s="19">
        <f>IF($I$39="Yes",1.17,1)</f>
        <v>1</v>
      </c>
      <c r="CI27" s="19">
        <f>IF($I$39="Yes",1.16,1)</f>
        <v>1</v>
      </c>
      <c r="CJ27" s="20">
        <v>1</v>
      </c>
      <c r="CK27" s="20">
        <v>1</v>
      </c>
      <c r="CQ27" s="24" t="s">
        <v>76</v>
      </c>
      <c r="CR27" s="20">
        <v>1</v>
      </c>
      <c r="CS27" s="20">
        <v>1</v>
      </c>
      <c r="CT27" s="19">
        <f>IF($J$39="Yes",1.585,1)</f>
        <v>1</v>
      </c>
      <c r="CU27" s="19">
        <f>IF($J$39="Yes",1.442,1)</f>
        <v>1</v>
      </c>
      <c r="CV27" s="19">
        <f>IF($J$39="Yes",1.227,1)</f>
        <v>1</v>
      </c>
      <c r="CW27" s="19">
        <f>IF($J$39="Yes",1.17,1)</f>
        <v>1</v>
      </c>
      <c r="CX27" s="19">
        <f>IF($J$39="Yes",1.16,1)</f>
        <v>1</v>
      </c>
      <c r="CY27" s="20">
        <v>1</v>
      </c>
      <c r="CZ27" s="20">
        <v>1</v>
      </c>
    </row>
    <row r="28" spans="1:104" ht="12.75" customHeight="1" x14ac:dyDescent="0.2">
      <c r="A28" s="45"/>
      <c r="B28" s="119" t="s">
        <v>77</v>
      </c>
      <c r="C28" s="120"/>
      <c r="D28" s="142">
        <v>1</v>
      </c>
      <c r="E28" s="143"/>
      <c r="F28" s="44"/>
      <c r="G28" s="45"/>
      <c r="H28" s="64"/>
      <c r="I28" s="64"/>
      <c r="J28" s="64"/>
      <c r="K28" s="45"/>
      <c r="L28" s="45"/>
      <c r="M28" s="45"/>
      <c r="N28" s="45"/>
      <c r="O28" s="45"/>
      <c r="P28" s="64"/>
      <c r="Q28" s="65"/>
      <c r="R28" s="65"/>
      <c r="S28" s="65"/>
      <c r="T28" s="65"/>
      <c r="U28" s="65"/>
      <c r="V28" s="65"/>
      <c r="W28" s="65"/>
      <c r="X28" s="65"/>
      <c r="Y28" s="65"/>
      <c r="Z28" s="65"/>
      <c r="AA28" s="65"/>
      <c r="AB28" s="65"/>
      <c r="AC28" s="65"/>
      <c r="AD28" s="65"/>
      <c r="AE28" s="65"/>
      <c r="AF28" s="65"/>
      <c r="AG28" s="1"/>
      <c r="AH28" s="1"/>
      <c r="AI28" s="1"/>
      <c r="AJ28" s="1"/>
      <c r="AK28" s="1"/>
      <c r="AL28" s="8" t="s">
        <v>72</v>
      </c>
      <c r="AX28" s="24" t="s">
        <v>78</v>
      </c>
      <c r="AY28" s="20">
        <v>1</v>
      </c>
      <c r="AZ28" s="20">
        <v>1</v>
      </c>
      <c r="BA28" s="20">
        <v>1</v>
      </c>
      <c r="BB28" s="19">
        <f>IF($D$26=$AL$27,0.637,1)</f>
        <v>0.63700000000000001</v>
      </c>
      <c r="BC28" s="19">
        <f>IF($D$26=$AL$27,1.053,1)</f>
        <v>1.0529999999999999</v>
      </c>
      <c r="BD28" s="20">
        <v>1</v>
      </c>
      <c r="BE28" s="20">
        <v>1</v>
      </c>
      <c r="BF28" s="20">
        <v>1</v>
      </c>
      <c r="BG28" s="20">
        <v>1</v>
      </c>
      <c r="BM28" s="24" t="s">
        <v>78</v>
      </c>
      <c r="BN28" s="20">
        <v>1</v>
      </c>
      <c r="BO28" s="20">
        <v>1</v>
      </c>
      <c r="BP28" s="20">
        <v>1</v>
      </c>
      <c r="BQ28" s="19">
        <f>IF($D$26=$AL$27,0.637,1)</f>
        <v>0.63700000000000001</v>
      </c>
      <c r="BR28" s="19">
        <f>IF($D$26=$AL$27,1.053,1)</f>
        <v>1.0529999999999999</v>
      </c>
      <c r="BS28" s="20">
        <v>1</v>
      </c>
      <c r="BT28" s="20">
        <v>1</v>
      </c>
      <c r="BU28" s="20">
        <v>1</v>
      </c>
      <c r="BV28" s="20">
        <v>1</v>
      </c>
      <c r="CB28" s="24" t="s">
        <v>78</v>
      </c>
      <c r="CC28" s="20">
        <v>1</v>
      </c>
      <c r="CD28" s="20">
        <v>1</v>
      </c>
      <c r="CE28" s="20">
        <v>1</v>
      </c>
      <c r="CF28" s="19">
        <f>IF($D$26=$AL$27,0.637,1)</f>
        <v>0.63700000000000001</v>
      </c>
      <c r="CG28" s="19">
        <f>IF($D$26=$AL$27,1.053,1)</f>
        <v>1.0529999999999999</v>
      </c>
      <c r="CH28" s="20">
        <v>1</v>
      </c>
      <c r="CI28" s="20">
        <v>1</v>
      </c>
      <c r="CJ28" s="20">
        <v>1</v>
      </c>
      <c r="CK28" s="20">
        <v>1</v>
      </c>
      <c r="CQ28" s="24" t="s">
        <v>78</v>
      </c>
      <c r="CR28" s="20">
        <v>1</v>
      </c>
      <c r="CS28" s="20">
        <v>1</v>
      </c>
      <c r="CT28" s="20">
        <v>1</v>
      </c>
      <c r="CU28" s="19">
        <f>IF($D$26=$AL$27,0.637,1)</f>
        <v>0.63700000000000001</v>
      </c>
      <c r="CV28" s="19">
        <f>IF($D$26=$AL$27,1.053,1)</f>
        <v>1.0529999999999999</v>
      </c>
      <c r="CW28" s="20">
        <v>1</v>
      </c>
      <c r="CX28" s="20">
        <v>1</v>
      </c>
      <c r="CY28" s="20">
        <v>1</v>
      </c>
      <c r="CZ28" s="20">
        <v>1</v>
      </c>
    </row>
    <row r="29" spans="1:104" ht="12.75" customHeight="1" x14ac:dyDescent="0.2">
      <c r="A29" s="45"/>
      <c r="B29" s="119" t="s">
        <v>79</v>
      </c>
      <c r="C29" s="120"/>
      <c r="D29" s="142">
        <v>4</v>
      </c>
      <c r="E29" s="143"/>
      <c r="F29" s="64"/>
      <c r="G29" s="64"/>
      <c r="H29" s="45"/>
      <c r="I29" s="45"/>
      <c r="J29" s="45"/>
      <c r="K29" s="85"/>
      <c r="L29" s="85"/>
      <c r="M29" s="64"/>
      <c r="N29" s="64"/>
      <c r="O29" s="64"/>
      <c r="P29" s="64"/>
      <c r="Q29" s="65"/>
      <c r="R29" s="65"/>
      <c r="S29" s="65"/>
      <c r="T29" s="65"/>
      <c r="U29" s="65"/>
      <c r="V29" s="65"/>
      <c r="W29" s="65"/>
      <c r="X29" s="65"/>
      <c r="Y29" s="65"/>
      <c r="Z29" s="65"/>
      <c r="AA29" s="65"/>
      <c r="AB29" s="65"/>
      <c r="AC29" s="65"/>
      <c r="AD29" s="65"/>
      <c r="AE29" s="65"/>
      <c r="AF29" s="65"/>
      <c r="AG29" s="1"/>
      <c r="AH29" s="1"/>
      <c r="AI29" s="1"/>
      <c r="AJ29" s="1"/>
      <c r="AK29" s="1"/>
      <c r="AX29" s="24" t="s">
        <v>80</v>
      </c>
      <c r="AY29" s="20">
        <v>1</v>
      </c>
      <c r="AZ29" s="20">
        <v>1</v>
      </c>
      <c r="BA29" s="20">
        <v>1</v>
      </c>
      <c r="BB29" s="19">
        <f>IF($G$52="Yes",1.449,1)</f>
        <v>1</v>
      </c>
      <c r="BC29" s="19">
        <f>IF($G$52="Yes",0.985,1)</f>
        <v>1</v>
      </c>
      <c r="BD29" s="19">
        <f>IF($G$52="Yes",1.57,1)</f>
        <v>1</v>
      </c>
      <c r="BE29" s="19">
        <f>IF($G$52="Yes",1.98,1)</f>
        <v>1</v>
      </c>
      <c r="BF29" s="20">
        <v>1</v>
      </c>
      <c r="BG29" s="20">
        <v>1</v>
      </c>
      <c r="BM29" s="24" t="s">
        <v>80</v>
      </c>
      <c r="BN29" s="20">
        <v>1</v>
      </c>
      <c r="BO29" s="20">
        <v>1</v>
      </c>
      <c r="BP29" s="20">
        <v>1</v>
      </c>
      <c r="BQ29" s="19">
        <f>IF($H$52="Yes",1.449,1)</f>
        <v>1</v>
      </c>
      <c r="BR29" s="19">
        <f>IF($H$52="Yes",0.985,1)</f>
        <v>1</v>
      </c>
      <c r="BS29" s="19">
        <f>IF($H$52="Yes",1.57,1)</f>
        <v>1</v>
      </c>
      <c r="BT29" s="19">
        <f>IF($H$52="Yes",1.98,1)</f>
        <v>1</v>
      </c>
      <c r="BU29" s="20">
        <v>1</v>
      </c>
      <c r="BV29" s="20">
        <v>1</v>
      </c>
      <c r="CB29" s="24" t="s">
        <v>80</v>
      </c>
      <c r="CC29" s="20">
        <v>1</v>
      </c>
      <c r="CD29" s="20">
        <v>1</v>
      </c>
      <c r="CE29" s="20">
        <v>1</v>
      </c>
      <c r="CF29" s="19">
        <f>IF($I$52="Yes",1.449,1)</f>
        <v>1</v>
      </c>
      <c r="CG29" s="19">
        <f>IF($I$52="Yes",0.985,1)</f>
        <v>1</v>
      </c>
      <c r="CH29" s="19">
        <f>IF($I$52="Yes",1.57,1)</f>
        <v>1</v>
      </c>
      <c r="CI29" s="19">
        <f>IF($I$52="Yes",1.98,1)</f>
        <v>1</v>
      </c>
      <c r="CJ29" s="20">
        <v>1</v>
      </c>
      <c r="CK29" s="20">
        <v>1</v>
      </c>
      <c r="CQ29" s="24" t="s">
        <v>80</v>
      </c>
      <c r="CR29" s="20">
        <v>1</v>
      </c>
      <c r="CS29" s="20">
        <v>1</v>
      </c>
      <c r="CT29" s="20">
        <v>1</v>
      </c>
      <c r="CU29" s="19">
        <f>IF($J$52="Yes",1.449,1)</f>
        <v>1</v>
      </c>
      <c r="CV29" s="19">
        <f>IF($J$52="Yes",0.985,1)</f>
        <v>1</v>
      </c>
      <c r="CW29" s="19">
        <f>IF($J$52="Yes",1.57,1)</f>
        <v>1</v>
      </c>
      <c r="CX29" s="19">
        <f>IF($J$52="Yes",1.98,1)</f>
        <v>1</v>
      </c>
      <c r="CY29" s="20">
        <v>1</v>
      </c>
      <c r="CZ29" s="20">
        <v>1</v>
      </c>
    </row>
    <row r="30" spans="1:104" ht="12.75" customHeight="1" x14ac:dyDescent="0.2">
      <c r="A30" s="45"/>
      <c r="B30" s="64"/>
      <c r="C30" s="64"/>
      <c r="D30" s="64"/>
      <c r="E30" s="64"/>
      <c r="F30" s="64"/>
      <c r="G30" s="164" t="str">
        <f>IF(ISBLANK(I24),G24,I24)</f>
        <v>Fitzgerald Avenue North</v>
      </c>
      <c r="H30" s="164" t="str">
        <f>IF(ISBLANK(I25),G25,I25)</f>
        <v>Gloucester Street East</v>
      </c>
      <c r="I30" s="164" t="str">
        <f>IF(ISBLANK(I26),G26,I26)</f>
        <v>Fitzgerald Avenue South</v>
      </c>
      <c r="J30" s="164" t="str">
        <f>IF(ISBLANK(I27),G27,I27)</f>
        <v>Gloucester Street East</v>
      </c>
      <c r="K30" s="53"/>
      <c r="L30" s="53"/>
      <c r="M30" s="65"/>
      <c r="N30" s="65"/>
      <c r="O30" s="65"/>
      <c r="P30" s="65"/>
      <c r="Q30" s="65"/>
      <c r="R30" s="65"/>
      <c r="S30" s="65"/>
      <c r="T30" s="65"/>
      <c r="U30" s="65"/>
      <c r="V30" s="65"/>
      <c r="W30" s="65"/>
      <c r="X30" s="65"/>
      <c r="Y30" s="65"/>
      <c r="Z30" s="65"/>
      <c r="AA30" s="65"/>
      <c r="AB30" s="65"/>
      <c r="AC30" s="65"/>
      <c r="AD30" s="65"/>
      <c r="AE30" s="65"/>
      <c r="AF30" s="65"/>
      <c r="AG30" s="1"/>
      <c r="AH30" s="1"/>
      <c r="AI30" s="1"/>
      <c r="AJ30" s="1"/>
      <c r="AK30" s="1"/>
      <c r="AL30" s="2" t="s">
        <v>81</v>
      </c>
      <c r="AX30" s="24" t="s">
        <v>82</v>
      </c>
      <c r="AY30" s="20">
        <v>1</v>
      </c>
      <c r="AZ30" s="20">
        <v>1</v>
      </c>
      <c r="BA30" s="20">
        <v>1</v>
      </c>
      <c r="BB30" s="19">
        <f>IF($G$55=$AL$43,0.9,1)</f>
        <v>1</v>
      </c>
      <c r="BC30" s="19">
        <f>IF($G$55=$AL$43,0.819,1)</f>
        <v>1</v>
      </c>
      <c r="BD30" s="20">
        <v>1</v>
      </c>
      <c r="BE30" s="19">
        <f>IF($G$55=$AL$43,1.83,1)</f>
        <v>1</v>
      </c>
      <c r="BF30" s="20">
        <v>1</v>
      </c>
      <c r="BG30" s="20">
        <v>1</v>
      </c>
      <c r="BM30" s="24" t="s">
        <v>82</v>
      </c>
      <c r="BN30" s="20">
        <v>1</v>
      </c>
      <c r="BO30" s="20">
        <v>1</v>
      </c>
      <c r="BP30" s="20">
        <v>1</v>
      </c>
      <c r="BQ30" s="19">
        <f>IF($H$55=$AL$43,0.9,1)</f>
        <v>1</v>
      </c>
      <c r="BR30" s="19">
        <f>IF($H$55=$AL$43,0.819,1)</f>
        <v>1</v>
      </c>
      <c r="BS30" s="20">
        <v>1</v>
      </c>
      <c r="BT30" s="19">
        <f>IF($H$55=$AL$43,1.83,1)</f>
        <v>1</v>
      </c>
      <c r="BU30" s="20">
        <v>1</v>
      </c>
      <c r="BV30" s="20">
        <v>1</v>
      </c>
      <c r="CB30" s="24" t="s">
        <v>82</v>
      </c>
      <c r="CC30" s="20">
        <v>1</v>
      </c>
      <c r="CD30" s="20">
        <v>1</v>
      </c>
      <c r="CE30" s="20">
        <v>1</v>
      </c>
      <c r="CF30" s="19">
        <f>IF($I$55=$AL$43,0.9,1)</f>
        <v>1</v>
      </c>
      <c r="CG30" s="19">
        <f>IF($I$55=$AL$43,0.819,1)</f>
        <v>1</v>
      </c>
      <c r="CH30" s="20">
        <v>1</v>
      </c>
      <c r="CI30" s="19">
        <f>IF($I$55=$AL$43,1.83,1)</f>
        <v>1</v>
      </c>
      <c r="CJ30" s="20">
        <v>1</v>
      </c>
      <c r="CK30" s="20">
        <v>1</v>
      </c>
      <c r="CQ30" s="24" t="s">
        <v>82</v>
      </c>
      <c r="CR30" s="20">
        <v>1</v>
      </c>
      <c r="CS30" s="20">
        <v>1</v>
      </c>
      <c r="CT30" s="20">
        <v>1</v>
      </c>
      <c r="CU30" s="19">
        <f>IF($J$55=$AL$43,0.9,1)</f>
        <v>1</v>
      </c>
      <c r="CV30" s="19">
        <f>IF($J$55=$AL$43,0.819,1)</f>
        <v>1</v>
      </c>
      <c r="CW30" s="20">
        <v>1</v>
      </c>
      <c r="CX30" s="19">
        <f>IF($J$55=$AL$43,1.83,1)</f>
        <v>1</v>
      </c>
      <c r="CY30" s="20">
        <v>1</v>
      </c>
      <c r="CZ30" s="20">
        <v>1</v>
      </c>
    </row>
    <row r="31" spans="1:104" ht="12.75" customHeight="1" x14ac:dyDescent="0.2">
      <c r="A31" s="45"/>
      <c r="B31" s="152" t="s">
        <v>145</v>
      </c>
      <c r="C31" s="153"/>
      <c r="D31" s="153"/>
      <c r="E31" s="153"/>
      <c r="F31" s="153"/>
      <c r="G31" s="165"/>
      <c r="H31" s="165"/>
      <c r="I31" s="165"/>
      <c r="J31" s="165"/>
      <c r="K31" s="53"/>
      <c r="L31" s="53"/>
      <c r="M31" s="64"/>
      <c r="N31" s="64"/>
      <c r="O31" s="64"/>
      <c r="P31" s="64"/>
      <c r="Q31" s="89" t="s">
        <v>141</v>
      </c>
      <c r="R31" s="90"/>
      <c r="S31" s="90"/>
      <c r="T31" s="90"/>
      <c r="U31" s="90"/>
      <c r="V31" s="91"/>
      <c r="W31" s="91"/>
      <c r="X31" s="65"/>
      <c r="Y31" s="65"/>
      <c r="Z31" s="65"/>
      <c r="AA31" s="65"/>
      <c r="AB31" s="65"/>
      <c r="AC31" s="65"/>
      <c r="AD31" s="65"/>
      <c r="AE31" s="65"/>
      <c r="AF31" s="65"/>
      <c r="AG31" s="1"/>
      <c r="AH31" s="1"/>
      <c r="AI31" s="1"/>
      <c r="AJ31" s="1"/>
      <c r="AK31" s="1"/>
      <c r="AL31" s="9">
        <v>1</v>
      </c>
      <c r="AO31" s="3">
        <v>1</v>
      </c>
      <c r="AX31" s="24" t="s">
        <v>83</v>
      </c>
      <c r="AY31" s="20">
        <v>1</v>
      </c>
      <c r="AZ31" s="20">
        <v>1</v>
      </c>
      <c r="BA31" s="20">
        <v>1</v>
      </c>
      <c r="BB31" s="20">
        <v>1</v>
      </c>
      <c r="BC31" s="20">
        <v>1</v>
      </c>
      <c r="BD31" s="19">
        <f>IF($G$55=$AL$44,0.75,1)</f>
        <v>0.75</v>
      </c>
      <c r="BE31" s="20">
        <v>1</v>
      </c>
      <c r="BF31" s="20">
        <v>1</v>
      </c>
      <c r="BG31" s="19">
        <f>IF($G$55=$AL$44,0.57,1)</f>
        <v>0.56999999999999995</v>
      </c>
      <c r="BM31" s="24" t="s">
        <v>83</v>
      </c>
      <c r="BN31" s="20">
        <v>1</v>
      </c>
      <c r="BO31" s="20">
        <v>1</v>
      </c>
      <c r="BP31" s="20">
        <v>1</v>
      </c>
      <c r="BQ31" s="20">
        <v>1</v>
      </c>
      <c r="BR31" s="20">
        <v>1</v>
      </c>
      <c r="BS31" s="19">
        <f>IF($H$55=$AL$44,0.75,1)</f>
        <v>0.75</v>
      </c>
      <c r="BT31" s="20">
        <v>1</v>
      </c>
      <c r="BU31" s="20">
        <v>1</v>
      </c>
      <c r="BV31" s="19">
        <f>IF($H$55=$AL$44,0.57,1)</f>
        <v>0.56999999999999995</v>
      </c>
      <c r="CB31" s="24" t="s">
        <v>83</v>
      </c>
      <c r="CC31" s="20">
        <v>1</v>
      </c>
      <c r="CD31" s="20">
        <v>1</v>
      </c>
      <c r="CE31" s="20">
        <v>1</v>
      </c>
      <c r="CF31" s="20">
        <v>1</v>
      </c>
      <c r="CG31" s="20">
        <v>1</v>
      </c>
      <c r="CH31" s="19">
        <f>IF($I$55=$AL$44,0.75,1)</f>
        <v>0.75</v>
      </c>
      <c r="CI31" s="20">
        <v>1</v>
      </c>
      <c r="CJ31" s="20">
        <v>1</v>
      </c>
      <c r="CK31" s="19">
        <f>IF($I$55=$AL$44,0.57,1)</f>
        <v>0.56999999999999995</v>
      </c>
      <c r="CQ31" s="24" t="s">
        <v>83</v>
      </c>
      <c r="CR31" s="20">
        <v>1</v>
      </c>
      <c r="CS31" s="20">
        <v>1</v>
      </c>
      <c r="CT31" s="20">
        <v>1</v>
      </c>
      <c r="CU31" s="20">
        <v>1</v>
      </c>
      <c r="CV31" s="20">
        <v>1</v>
      </c>
      <c r="CW31" s="19">
        <f>IF($J$55=$AL$44,0.75,1)</f>
        <v>0.75</v>
      </c>
      <c r="CX31" s="20">
        <v>1</v>
      </c>
      <c r="CY31" s="20">
        <v>1</v>
      </c>
      <c r="CZ31" s="19">
        <f>IF($J$55=$AL$44,0.57,1)</f>
        <v>0.56999999999999995</v>
      </c>
    </row>
    <row r="32" spans="1:104" ht="12.75" customHeight="1" x14ac:dyDescent="0.2">
      <c r="A32" s="45"/>
      <c r="B32" s="147" t="s">
        <v>84</v>
      </c>
      <c r="C32" s="148"/>
      <c r="D32" s="148"/>
      <c r="E32" s="148"/>
      <c r="F32" s="149"/>
      <c r="G32" s="35">
        <v>21</v>
      </c>
      <c r="H32" s="35">
        <v>38</v>
      </c>
      <c r="I32" s="35">
        <v>21</v>
      </c>
      <c r="J32" s="35">
        <v>38</v>
      </c>
      <c r="K32" s="85"/>
      <c r="L32" s="85"/>
      <c r="M32" s="64"/>
      <c r="N32" s="64"/>
      <c r="O32" s="64"/>
      <c r="P32" s="64"/>
      <c r="Q32" s="91"/>
      <c r="R32" s="90"/>
      <c r="S32" s="90"/>
      <c r="T32" s="90"/>
      <c r="U32" s="90"/>
      <c r="V32" s="91"/>
      <c r="W32" s="91"/>
      <c r="X32" s="65"/>
      <c r="Y32" s="65"/>
      <c r="Z32" s="65"/>
      <c r="AA32" s="65"/>
      <c r="AB32" s="65"/>
      <c r="AC32" s="65"/>
      <c r="AD32" s="65"/>
      <c r="AE32" s="65"/>
      <c r="AF32" s="65"/>
      <c r="AG32" s="1"/>
      <c r="AH32" s="1"/>
      <c r="AI32" s="1"/>
      <c r="AJ32" s="1"/>
      <c r="AK32" s="1"/>
      <c r="AL32" s="9">
        <v>2</v>
      </c>
      <c r="AO32" s="3">
        <v>2</v>
      </c>
      <c r="AX32" s="24" t="s">
        <v>85</v>
      </c>
      <c r="AY32" s="20">
        <v>1</v>
      </c>
      <c r="AZ32" s="20">
        <v>1</v>
      </c>
      <c r="BA32" s="20">
        <v>1</v>
      </c>
      <c r="BB32" s="20">
        <v>1</v>
      </c>
      <c r="BC32" s="20">
        <v>1</v>
      </c>
      <c r="BD32" s="19">
        <f>IF($G$54="Yes",0.58,1)</f>
        <v>0.57999999999999996</v>
      </c>
      <c r="BE32" s="19">
        <f>IF($G$54="Yes",0.7,1)</f>
        <v>0.7</v>
      </c>
      <c r="BF32" s="20">
        <v>1</v>
      </c>
      <c r="BG32" s="20">
        <v>1</v>
      </c>
      <c r="BM32" s="24" t="s">
        <v>85</v>
      </c>
      <c r="BN32" s="20">
        <v>1</v>
      </c>
      <c r="BO32" s="20">
        <v>1</v>
      </c>
      <c r="BP32" s="20">
        <v>1</v>
      </c>
      <c r="BQ32" s="20">
        <v>1</v>
      </c>
      <c r="BR32" s="20">
        <v>1</v>
      </c>
      <c r="BS32" s="19">
        <f>IF($H$54="Yes",0.58,1)</f>
        <v>0.57999999999999996</v>
      </c>
      <c r="BT32" s="19">
        <f>IF($H$54="Yes",0.7,1)</f>
        <v>0.7</v>
      </c>
      <c r="BU32" s="20">
        <v>1</v>
      </c>
      <c r="BV32" s="20">
        <v>1</v>
      </c>
      <c r="CB32" s="24" t="s">
        <v>85</v>
      </c>
      <c r="CC32" s="20">
        <v>1</v>
      </c>
      <c r="CD32" s="20">
        <v>1</v>
      </c>
      <c r="CE32" s="20">
        <v>1</v>
      </c>
      <c r="CF32" s="20">
        <v>1</v>
      </c>
      <c r="CG32" s="20">
        <v>1</v>
      </c>
      <c r="CH32" s="19">
        <f>IF($I$54="Yes",0.58,1)</f>
        <v>0.57999999999999996</v>
      </c>
      <c r="CI32" s="19">
        <f>IF($I$54="Yes",0.7,1)</f>
        <v>0.7</v>
      </c>
      <c r="CJ32" s="20">
        <v>1</v>
      </c>
      <c r="CK32" s="20">
        <v>1</v>
      </c>
      <c r="CQ32" s="24" t="s">
        <v>85</v>
      </c>
      <c r="CR32" s="20">
        <v>1</v>
      </c>
      <c r="CS32" s="20">
        <v>1</v>
      </c>
      <c r="CT32" s="20">
        <v>1</v>
      </c>
      <c r="CU32" s="20">
        <v>1</v>
      </c>
      <c r="CV32" s="20">
        <v>1</v>
      </c>
      <c r="CW32" s="19">
        <f>IF($J$54="Yes",0.58,1)</f>
        <v>0.57999999999999996</v>
      </c>
      <c r="CX32" s="19">
        <f>IF($J$54="Yes",0.7,1)</f>
        <v>0.7</v>
      </c>
      <c r="CY32" s="20">
        <v>1</v>
      </c>
      <c r="CZ32" s="20">
        <v>1</v>
      </c>
    </row>
    <row r="33" spans="1:107" ht="12.75" customHeight="1" x14ac:dyDescent="0.2">
      <c r="A33" s="45"/>
      <c r="B33" s="147" t="s">
        <v>86</v>
      </c>
      <c r="C33" s="150"/>
      <c r="D33" s="150"/>
      <c r="E33" s="150"/>
      <c r="F33" s="151"/>
      <c r="G33" s="35">
        <v>16</v>
      </c>
      <c r="H33" s="35">
        <v>6.5</v>
      </c>
      <c r="I33" s="35">
        <v>15.4</v>
      </c>
      <c r="J33" s="35">
        <v>6.2</v>
      </c>
      <c r="K33" s="85"/>
      <c r="L33" s="85"/>
      <c r="M33" s="64"/>
      <c r="N33" s="64"/>
      <c r="O33" s="64"/>
      <c r="P33" s="64"/>
      <c r="Q33" s="89" t="s">
        <v>135</v>
      </c>
      <c r="R33" s="91"/>
      <c r="S33" s="89" t="s">
        <v>142</v>
      </c>
      <c r="T33" s="91"/>
      <c r="U33" s="91"/>
      <c r="V33" s="91"/>
      <c r="W33" s="91"/>
      <c r="X33" s="65"/>
      <c r="Y33" s="65"/>
      <c r="Z33" s="65"/>
      <c r="AA33" s="65"/>
      <c r="AB33" s="65"/>
      <c r="AC33" s="65"/>
      <c r="AD33" s="65"/>
      <c r="AE33" s="65"/>
      <c r="AF33" s="65"/>
      <c r="AG33" s="1"/>
      <c r="AH33" s="1"/>
      <c r="AI33" s="1"/>
      <c r="AJ33" s="1"/>
      <c r="AK33" s="1"/>
      <c r="AL33" s="9">
        <v>3</v>
      </c>
      <c r="AO33" s="3">
        <v>3</v>
      </c>
      <c r="AX33" s="24" t="s">
        <v>87</v>
      </c>
      <c r="AY33" s="20">
        <v>1</v>
      </c>
      <c r="AZ33" s="20">
        <v>1</v>
      </c>
      <c r="BA33" s="20">
        <v>1</v>
      </c>
      <c r="BB33" s="20">
        <v>1</v>
      </c>
      <c r="BC33" s="20">
        <v>1</v>
      </c>
      <c r="BD33" s="19">
        <f>IF($G$42="Yes",1.47,1)</f>
        <v>1</v>
      </c>
      <c r="BE33" s="19">
        <f>IF($G$42="Yes",0.65,1)</f>
        <v>1</v>
      </c>
      <c r="BF33" s="20">
        <v>1</v>
      </c>
      <c r="BG33" s="20">
        <v>1</v>
      </c>
      <c r="BM33" s="24" t="s">
        <v>87</v>
      </c>
      <c r="BN33" s="20">
        <v>1</v>
      </c>
      <c r="BO33" s="20">
        <v>1</v>
      </c>
      <c r="BP33" s="20">
        <v>1</v>
      </c>
      <c r="BQ33" s="20">
        <v>1</v>
      </c>
      <c r="BR33" s="20">
        <v>1</v>
      </c>
      <c r="BS33" s="19">
        <f>IF($H$42="Yes",1.47,1)</f>
        <v>1</v>
      </c>
      <c r="BT33" s="19">
        <f>IF($H$42="Yes",0.65,1)</f>
        <v>1</v>
      </c>
      <c r="BU33" s="20">
        <v>1</v>
      </c>
      <c r="BV33" s="20">
        <v>1</v>
      </c>
      <c r="CB33" s="24" t="s">
        <v>87</v>
      </c>
      <c r="CC33" s="20">
        <v>1</v>
      </c>
      <c r="CD33" s="20">
        <v>1</v>
      </c>
      <c r="CE33" s="20">
        <v>1</v>
      </c>
      <c r="CF33" s="20">
        <v>1</v>
      </c>
      <c r="CG33" s="20">
        <v>1</v>
      </c>
      <c r="CH33" s="19">
        <f>IF($I$42="Yes",1.47,1)</f>
        <v>1</v>
      </c>
      <c r="CI33" s="19">
        <f>IF($I$42="Yes",0.65,1)</f>
        <v>1</v>
      </c>
      <c r="CJ33" s="20">
        <v>1</v>
      </c>
      <c r="CK33" s="20">
        <v>1</v>
      </c>
      <c r="CQ33" s="24" t="s">
        <v>87</v>
      </c>
      <c r="CR33" s="20">
        <v>1</v>
      </c>
      <c r="CS33" s="20">
        <v>1</v>
      </c>
      <c r="CT33" s="20">
        <v>1</v>
      </c>
      <c r="CU33" s="20">
        <v>1</v>
      </c>
      <c r="CV33" s="20">
        <v>1</v>
      </c>
      <c r="CW33" s="19">
        <f>IF($J$42="Yes",1.47,1)</f>
        <v>1</v>
      </c>
      <c r="CX33" s="19">
        <f>IF($J$42="Yes",0.65,1)</f>
        <v>1</v>
      </c>
      <c r="CY33" s="20">
        <v>1</v>
      </c>
      <c r="CZ33" s="20">
        <v>1</v>
      </c>
    </row>
    <row r="34" spans="1:107" ht="12.75" customHeight="1" x14ac:dyDescent="0.2">
      <c r="A34" s="45"/>
      <c r="B34" s="147" t="s">
        <v>88</v>
      </c>
      <c r="C34" s="150"/>
      <c r="D34" s="150"/>
      <c r="E34" s="150"/>
      <c r="F34" s="151"/>
      <c r="G34" s="35">
        <v>5</v>
      </c>
      <c r="H34" s="35">
        <v>2</v>
      </c>
      <c r="I34" s="35">
        <v>5</v>
      </c>
      <c r="J34" s="35">
        <v>2</v>
      </c>
      <c r="K34" s="85"/>
      <c r="L34" s="85"/>
      <c r="M34" s="64"/>
      <c r="N34" s="64"/>
      <c r="O34" s="64"/>
      <c r="P34" s="64"/>
      <c r="Q34" s="92" t="s">
        <v>17</v>
      </c>
      <c r="R34" s="90"/>
      <c r="S34" s="90" t="s">
        <v>137</v>
      </c>
      <c r="T34" s="90"/>
      <c r="U34" s="90"/>
      <c r="V34" s="91"/>
      <c r="W34" s="91"/>
      <c r="X34" s="65"/>
      <c r="Y34" s="65"/>
      <c r="Z34" s="65"/>
      <c r="AA34" s="65"/>
      <c r="AB34" s="65"/>
      <c r="AC34" s="65"/>
      <c r="AD34" s="65"/>
      <c r="AE34" s="65"/>
      <c r="AF34" s="65"/>
      <c r="AG34" s="1"/>
      <c r="AH34" s="1"/>
      <c r="AI34" s="1"/>
      <c r="AJ34" s="1"/>
      <c r="AK34" s="1"/>
      <c r="AL34" s="9">
        <v>4</v>
      </c>
      <c r="AO34" s="3">
        <v>4</v>
      </c>
      <c r="AX34" s="36"/>
      <c r="AY34" s="20"/>
      <c r="AZ34" s="20"/>
      <c r="BA34" s="20"/>
      <c r="BB34" s="20"/>
      <c r="BC34" s="20"/>
      <c r="BD34" s="20"/>
      <c r="BE34" s="20"/>
      <c r="BF34" s="20"/>
      <c r="BG34" s="20"/>
      <c r="BM34" s="36"/>
      <c r="BN34" s="20"/>
      <c r="BO34" s="20"/>
      <c r="BP34" s="20"/>
      <c r="BQ34" s="20"/>
      <c r="BR34" s="20"/>
      <c r="BS34" s="20"/>
      <c r="BT34" s="20"/>
      <c r="BU34" s="20"/>
      <c r="BV34" s="20"/>
      <c r="CB34" s="36"/>
      <c r="CC34" s="20"/>
      <c r="CD34" s="20"/>
      <c r="CE34" s="20"/>
      <c r="CF34" s="20"/>
      <c r="CG34" s="20"/>
      <c r="CH34" s="20"/>
      <c r="CI34" s="20"/>
      <c r="CJ34" s="20"/>
      <c r="CK34" s="20"/>
      <c r="CQ34" s="36"/>
      <c r="CR34" s="20"/>
      <c r="CS34" s="20"/>
      <c r="CT34" s="20"/>
      <c r="CU34" s="20"/>
      <c r="CV34" s="20"/>
      <c r="CW34" s="20"/>
      <c r="CX34" s="20"/>
      <c r="CY34" s="20"/>
      <c r="CZ34" s="20"/>
    </row>
    <row r="35" spans="1:107" ht="12.75" customHeight="1" x14ac:dyDescent="0.2">
      <c r="A35" s="45"/>
      <c r="B35" s="147" t="s">
        <v>89</v>
      </c>
      <c r="C35" s="150"/>
      <c r="D35" s="150"/>
      <c r="E35" s="150"/>
      <c r="F35" s="151"/>
      <c r="G35" s="35">
        <v>3</v>
      </c>
      <c r="H35" s="35">
        <v>1</v>
      </c>
      <c r="I35" s="35">
        <v>3</v>
      </c>
      <c r="J35" s="35">
        <v>1</v>
      </c>
      <c r="K35" s="85"/>
      <c r="L35" s="85"/>
      <c r="M35" s="64"/>
      <c r="N35" s="64"/>
      <c r="O35" s="64"/>
      <c r="P35" s="64"/>
      <c r="Q35" s="90" t="s">
        <v>30</v>
      </c>
      <c r="R35" s="90"/>
      <c r="S35" s="90" t="s">
        <v>136</v>
      </c>
      <c r="T35" s="90"/>
      <c r="U35" s="90"/>
      <c r="V35" s="93"/>
      <c r="W35" s="91"/>
      <c r="X35" s="65"/>
      <c r="Y35" s="65"/>
      <c r="Z35" s="65"/>
      <c r="AA35" s="65"/>
      <c r="AB35" s="65"/>
      <c r="AC35" s="65"/>
      <c r="AD35" s="65"/>
      <c r="AE35" s="65"/>
      <c r="AF35" s="65"/>
      <c r="AG35" s="1"/>
      <c r="AH35" s="1"/>
      <c r="AI35" s="1"/>
      <c r="AJ35" s="1"/>
      <c r="AK35" s="1"/>
      <c r="AL35" s="9">
        <v>5</v>
      </c>
      <c r="AO35" s="3">
        <v>5</v>
      </c>
      <c r="AX35" s="37" t="s">
        <v>90</v>
      </c>
      <c r="AY35" s="38">
        <f t="shared" ref="AY35:BG35" si="0">PRODUCT(AY$4:AY$33)</f>
        <v>0.25953692322361116</v>
      </c>
      <c r="AZ35" s="38">
        <f t="shared" si="0"/>
        <v>0.128015068265601</v>
      </c>
      <c r="BA35" s="38">
        <f t="shared" si="0"/>
        <v>0.17624393829959037</v>
      </c>
      <c r="BB35" s="38">
        <f t="shared" si="0"/>
        <v>8.5032413808187352E-2</v>
      </c>
      <c r="BC35" s="38">
        <f t="shared" si="0"/>
        <v>9.9707547313385492E-2</v>
      </c>
      <c r="BD35" s="38">
        <f t="shared" si="0"/>
        <v>0.12583826135501469</v>
      </c>
      <c r="BE35" s="38">
        <f t="shared" si="0"/>
        <v>2.1532314503524722E-2</v>
      </c>
      <c r="BF35" s="38">
        <f t="shared" si="0"/>
        <v>1.6598194154356261E-2</v>
      </c>
      <c r="BG35" s="38">
        <f t="shared" si="0"/>
        <v>4.0705735371179318E-3</v>
      </c>
      <c r="BH35" s="39">
        <f>$AQ$3*SUM($U$10:$W$10)^$AR$3*SUM($U$8:$W$8)^$AS$3</f>
        <v>1.8413388500762157E-2</v>
      </c>
      <c r="BI35" s="39">
        <f>$AQ$4*SUM($U$10:$W$10)^$AR$4*SUM($U$8:$W$8)^$AS$4</f>
        <v>2.7606571437966618E-3</v>
      </c>
      <c r="BJ35" s="39">
        <f>SUM($BH$35:$BI$35)*$AQ$5</f>
        <v>1.5668793776973524E-2</v>
      </c>
      <c r="BM35" s="37" t="s">
        <v>90</v>
      </c>
      <c r="BN35" s="38">
        <f t="shared" ref="BN35:BV35" si="1">PRODUCT(BN$4:BN$33)</f>
        <v>0.26694447919156611</v>
      </c>
      <c r="BO35" s="38">
        <f t="shared" si="1"/>
        <v>2.5370638671500603E-2</v>
      </c>
      <c r="BP35" s="38">
        <f t="shared" si="1"/>
        <v>6.1756073022320897E-2</v>
      </c>
      <c r="BQ35" s="38">
        <f t="shared" si="1"/>
        <v>2.9563180664246794E-2</v>
      </c>
      <c r="BR35" s="38">
        <f t="shared" si="1"/>
        <v>3.2192888020881553E-3</v>
      </c>
      <c r="BS35" s="38">
        <f t="shared" si="1"/>
        <v>3.9081102361813808E-2</v>
      </c>
      <c r="BT35" s="38">
        <f t="shared" si="1"/>
        <v>1.6665711329383871E-2</v>
      </c>
      <c r="BU35" s="38">
        <f t="shared" si="1"/>
        <v>1.3524777293361354E-2</v>
      </c>
      <c r="BV35" s="38">
        <f t="shared" si="1"/>
        <v>4.1715359331844703E-3</v>
      </c>
      <c r="BW35" s="39">
        <f>$AQ$3*SUM($AA$14:$AA$16)^$AR$3*SUM($AC$14:$AC$16)^$AS$3</f>
        <v>1.4253651563593681E-2</v>
      </c>
      <c r="BX35" s="39">
        <f>$AQ$4*SUM($AA$14:$AA$16)^$AR$4*SUM($AC$14:$AC$16)^$AS$4</f>
        <v>2.0167617503351115E-3</v>
      </c>
      <c r="BY35" s="39">
        <f>SUM(BW35:BX35)*$AQ$5</f>
        <v>1.2040105852307307E-2</v>
      </c>
      <c r="CB35" s="37" t="s">
        <v>90</v>
      </c>
      <c r="CC35" s="38">
        <f t="shared" ref="CC35:CK35" si="2">PRODUCT(CC$4:CC$33)</f>
        <v>0.2606186075356986</v>
      </c>
      <c r="CD35" s="38">
        <f t="shared" si="2"/>
        <v>0.11092360277646598</v>
      </c>
      <c r="CE35" s="38">
        <f t="shared" si="2"/>
        <v>0.14004294961140321</v>
      </c>
      <c r="CF35" s="38">
        <f t="shared" si="2"/>
        <v>9.7826925677843832E-2</v>
      </c>
      <c r="CG35" s="38">
        <f t="shared" si="2"/>
        <v>0.10288125146231501</v>
      </c>
      <c r="CH35" s="38">
        <f t="shared" si="2"/>
        <v>8.2979107425580553E-2</v>
      </c>
      <c r="CI35" s="38">
        <f t="shared" si="2"/>
        <v>1.7332205950951605E-2</v>
      </c>
      <c r="CJ35" s="38">
        <f t="shared" si="2"/>
        <v>2.1960311772883524E-2</v>
      </c>
      <c r="CK35" s="38">
        <f t="shared" si="2"/>
        <v>5.0137016834155565E-3</v>
      </c>
      <c r="CL35" s="39">
        <f>$AQ$3*SUM($U$20:$W$20)^$AR$3*SUM($U$22:$W$22)^$AS$3</f>
        <v>2.0307760709881419E-2</v>
      </c>
      <c r="CM35" s="39">
        <f>$AQ$4*SUM($U$20:$W$20)^$AR$4*SUM($U$22:$W$22)^$AS$4</f>
        <v>3.3317545237987294E-3</v>
      </c>
      <c r="CN35" s="39">
        <f>SUM($CL$35:$CM$35)*$AQ$5</f>
        <v>1.7493241272923309E-2</v>
      </c>
      <c r="CQ35" s="37" t="s">
        <v>90</v>
      </c>
      <c r="CR35" s="38">
        <f t="shared" ref="CR35:CZ35" si="3">PRODUCT(CR$4:CR$33)</f>
        <v>0.22360067901917297</v>
      </c>
      <c r="CS35" s="38">
        <f t="shared" si="3"/>
        <v>2.587252172011632E-2</v>
      </c>
      <c r="CT35" s="38">
        <f t="shared" si="3"/>
        <v>4.0597099521939302E-2</v>
      </c>
      <c r="CU35" s="38">
        <f t="shared" si="3"/>
        <v>1.8560747629577198E-2</v>
      </c>
      <c r="CV35" s="38">
        <f t="shared" si="3"/>
        <v>2.3049649273449951E-3</v>
      </c>
      <c r="CW35" s="38">
        <f t="shared" si="3"/>
        <v>1.8233638502854171E-2</v>
      </c>
      <c r="CX35" s="38">
        <f t="shared" si="3"/>
        <v>1.3016251058924577E-2</v>
      </c>
      <c r="CY35" s="38">
        <f t="shared" si="3"/>
        <v>1.0072853725595998E-2</v>
      </c>
      <c r="CZ35" s="38">
        <f t="shared" si="3"/>
        <v>3.5996143258178528E-3</v>
      </c>
      <c r="DA35" s="39">
        <f>$AQ$3*SUM($Q$14:$Q$16)^$AR$3*SUM($O$14:$O$16)^$AS$3</f>
        <v>1.1297368382518167E-2</v>
      </c>
      <c r="DB35" s="39">
        <f>$AQ$4*SUM($Q$14:$Q$16)^$AR$4*SUM($O$14:$O$16)^$AS$4</f>
        <v>1.5883499699768894E-3</v>
      </c>
      <c r="DC35" s="39">
        <f>SUM($DA$35:$DB$35)*$AQ$5</f>
        <v>9.535431580846342E-3</v>
      </c>
    </row>
    <row r="36" spans="1:107" ht="12.75" customHeight="1" x14ac:dyDescent="0.2">
      <c r="A36" s="45"/>
      <c r="B36" s="154" t="s">
        <v>146</v>
      </c>
      <c r="C36" s="150"/>
      <c r="D36" s="150"/>
      <c r="E36" s="150"/>
      <c r="F36" s="151"/>
      <c r="G36" s="35">
        <v>21</v>
      </c>
      <c r="H36" s="35">
        <v>101</v>
      </c>
      <c r="I36" s="35">
        <v>21</v>
      </c>
      <c r="J36" s="35">
        <v>101</v>
      </c>
      <c r="K36" s="85"/>
      <c r="L36" s="85"/>
      <c r="M36" s="64"/>
      <c r="N36" s="64"/>
      <c r="O36" s="64"/>
      <c r="P36" s="64"/>
      <c r="Q36" s="90" t="s">
        <v>34</v>
      </c>
      <c r="R36" s="90"/>
      <c r="S36" s="90" t="s">
        <v>138</v>
      </c>
      <c r="T36" s="90"/>
      <c r="U36" s="90"/>
      <c r="V36" s="93"/>
      <c r="W36" s="91"/>
      <c r="X36" s="65"/>
      <c r="Y36" s="65"/>
      <c r="Z36" s="65"/>
      <c r="AA36" s="65"/>
      <c r="AB36" s="65"/>
      <c r="AC36" s="65"/>
      <c r="AD36" s="65"/>
      <c r="AE36" s="65"/>
      <c r="AF36" s="65"/>
      <c r="AG36" s="1"/>
      <c r="AH36" s="1"/>
      <c r="AI36" s="1"/>
      <c r="AJ36" s="1"/>
      <c r="AK36" s="1"/>
      <c r="AL36" s="9">
        <v>6</v>
      </c>
      <c r="AO36" s="3">
        <v>6</v>
      </c>
      <c r="AX36" s="36"/>
      <c r="AY36" s="20"/>
      <c r="AZ36" s="20"/>
      <c r="BA36" s="20"/>
      <c r="BB36" s="20"/>
      <c r="BC36" s="20"/>
      <c r="BD36" s="20"/>
      <c r="BE36" s="20"/>
      <c r="BF36" s="20"/>
      <c r="BG36" s="20"/>
    </row>
    <row r="37" spans="1:107" ht="12.75" customHeight="1" x14ac:dyDescent="0.2">
      <c r="A37" s="45"/>
      <c r="B37" s="147" t="s">
        <v>91</v>
      </c>
      <c r="C37" s="150"/>
      <c r="D37" s="150"/>
      <c r="E37" s="150"/>
      <c r="F37" s="151"/>
      <c r="G37" s="35" t="s">
        <v>95</v>
      </c>
      <c r="H37" s="35" t="s">
        <v>92</v>
      </c>
      <c r="I37" s="35" t="s">
        <v>95</v>
      </c>
      <c r="J37" s="35" t="s">
        <v>92</v>
      </c>
      <c r="K37" s="85"/>
      <c r="L37" s="85"/>
      <c r="M37" s="85"/>
      <c r="N37" s="94"/>
      <c r="O37" s="94"/>
      <c r="P37" s="64"/>
      <c r="Q37" s="90" t="s">
        <v>36</v>
      </c>
      <c r="R37" s="90"/>
      <c r="S37" s="90" t="s">
        <v>139</v>
      </c>
      <c r="T37" s="90"/>
      <c r="U37" s="90"/>
      <c r="V37" s="90"/>
      <c r="W37" s="90"/>
      <c r="X37" s="65"/>
      <c r="Y37" s="65"/>
      <c r="Z37" s="65"/>
      <c r="AA37" s="65"/>
      <c r="AB37" s="65"/>
      <c r="AC37" s="65"/>
      <c r="AD37" s="65"/>
      <c r="AE37" s="65"/>
      <c r="AF37" s="65"/>
      <c r="AG37" s="1"/>
      <c r="AH37" s="1"/>
      <c r="AI37" s="1"/>
      <c r="AJ37" s="1"/>
      <c r="AK37" s="1"/>
      <c r="AO37" s="3">
        <v>7</v>
      </c>
      <c r="AX37" s="36"/>
      <c r="AY37" s="20"/>
      <c r="AZ37" s="20"/>
      <c r="BA37" s="20"/>
      <c r="BB37" s="20"/>
      <c r="BC37" s="20"/>
      <c r="BD37" s="20"/>
      <c r="BE37" s="20"/>
      <c r="BF37" s="20"/>
      <c r="BG37" s="20"/>
    </row>
    <row r="38" spans="1:107" ht="12.75" customHeight="1" x14ac:dyDescent="0.2">
      <c r="A38" s="64"/>
      <c r="B38" s="154" t="s">
        <v>147</v>
      </c>
      <c r="C38" s="150"/>
      <c r="D38" s="150"/>
      <c r="E38" s="150"/>
      <c r="F38" s="151"/>
      <c r="G38" s="35" t="s">
        <v>95</v>
      </c>
      <c r="H38" s="35" t="s">
        <v>92</v>
      </c>
      <c r="I38" s="35" t="s">
        <v>95</v>
      </c>
      <c r="J38" s="35" t="s">
        <v>92</v>
      </c>
      <c r="K38" s="85"/>
      <c r="L38" s="85"/>
      <c r="M38" s="85"/>
      <c r="N38" s="94"/>
      <c r="O38" s="94"/>
      <c r="P38" s="94"/>
      <c r="Q38" s="90" t="s">
        <v>38</v>
      </c>
      <c r="R38" s="90"/>
      <c r="S38" s="90" t="s">
        <v>140</v>
      </c>
      <c r="T38" s="90"/>
      <c r="U38" s="90"/>
      <c r="V38" s="90"/>
      <c r="W38" s="90"/>
      <c r="X38" s="65"/>
      <c r="Y38" s="65"/>
      <c r="Z38" s="65"/>
      <c r="AA38" s="65"/>
      <c r="AB38" s="65"/>
      <c r="AC38" s="65"/>
      <c r="AD38" s="65"/>
      <c r="AE38" s="65"/>
      <c r="AF38" s="65"/>
      <c r="AG38" s="1"/>
      <c r="AH38" s="1"/>
      <c r="AI38" s="1"/>
      <c r="AJ38" s="1"/>
      <c r="AK38" s="1"/>
      <c r="AL38" s="2" t="s">
        <v>93</v>
      </c>
      <c r="AO38" s="3">
        <v>8</v>
      </c>
      <c r="AX38" s="36"/>
      <c r="AY38" s="20"/>
      <c r="AZ38" s="20"/>
      <c r="BA38" s="20"/>
      <c r="BB38" s="20"/>
      <c r="BC38" s="20"/>
      <c r="BD38" s="20"/>
      <c r="BE38" s="20"/>
      <c r="BF38" s="20"/>
      <c r="BG38" s="20"/>
    </row>
    <row r="39" spans="1:107" ht="12.75" customHeight="1" x14ac:dyDescent="0.2">
      <c r="A39" s="64"/>
      <c r="B39" s="147" t="s">
        <v>94</v>
      </c>
      <c r="C39" s="150"/>
      <c r="D39" s="150"/>
      <c r="E39" s="150"/>
      <c r="F39" s="151"/>
      <c r="G39" s="35" t="s">
        <v>95</v>
      </c>
      <c r="H39" s="35" t="s">
        <v>95</v>
      </c>
      <c r="I39" s="35" t="s">
        <v>95</v>
      </c>
      <c r="J39" s="35" t="s">
        <v>95</v>
      </c>
      <c r="K39" s="65"/>
      <c r="L39" s="65"/>
      <c r="M39" s="65"/>
      <c r="N39" s="94"/>
      <c r="O39" s="94"/>
      <c r="P39" s="94"/>
      <c r="Q39" s="94"/>
      <c r="R39" s="94"/>
      <c r="S39" s="94"/>
      <c r="T39" s="65"/>
      <c r="U39" s="65"/>
      <c r="V39" s="65"/>
      <c r="W39" s="65"/>
      <c r="X39" s="65"/>
      <c r="Y39" s="65"/>
      <c r="Z39" s="65"/>
      <c r="AA39" s="65"/>
      <c r="AB39" s="65"/>
      <c r="AC39" s="65"/>
      <c r="AD39" s="65"/>
      <c r="AE39" s="65"/>
      <c r="AF39" s="65"/>
      <c r="AG39" s="1"/>
      <c r="AH39" s="1"/>
      <c r="AI39" s="1"/>
      <c r="AJ39" s="1"/>
      <c r="AK39" s="1"/>
      <c r="AL39" s="8" t="s">
        <v>92</v>
      </c>
      <c r="AM39" s="9">
        <v>1</v>
      </c>
      <c r="AO39" s="3">
        <v>9</v>
      </c>
      <c r="AX39" s="36"/>
      <c r="AY39" s="20"/>
      <c r="AZ39" s="20"/>
      <c r="BA39" s="20"/>
      <c r="BB39" s="20"/>
      <c r="BC39" s="20"/>
      <c r="BD39" s="20"/>
      <c r="BE39" s="20"/>
      <c r="BF39" s="20"/>
      <c r="BG39" s="20"/>
    </row>
    <row r="40" spans="1:107" ht="12.75" customHeight="1" x14ac:dyDescent="0.2">
      <c r="A40" s="64"/>
      <c r="B40" s="147" t="s">
        <v>96</v>
      </c>
      <c r="C40" s="150"/>
      <c r="D40" s="150"/>
      <c r="E40" s="150"/>
      <c r="F40" s="151"/>
      <c r="G40" s="35" t="s">
        <v>92</v>
      </c>
      <c r="H40" s="35" t="s">
        <v>95</v>
      </c>
      <c r="I40" s="35" t="s">
        <v>92</v>
      </c>
      <c r="J40" s="35" t="s">
        <v>95</v>
      </c>
      <c r="K40" s="65"/>
      <c r="L40" s="65"/>
      <c r="M40" s="65"/>
      <c r="N40" s="65"/>
      <c r="O40" s="65"/>
      <c r="P40" s="65"/>
      <c r="Q40" s="65"/>
      <c r="R40" s="65"/>
      <c r="S40" s="65"/>
      <c r="T40" s="65"/>
      <c r="U40" s="65"/>
      <c r="V40" s="65"/>
      <c r="W40" s="65"/>
      <c r="X40" s="65"/>
      <c r="Y40" s="65"/>
      <c r="Z40" s="65"/>
      <c r="AA40" s="65"/>
      <c r="AB40" s="65"/>
      <c r="AC40" s="65"/>
      <c r="AD40" s="65"/>
      <c r="AE40" s="65"/>
      <c r="AF40" s="65"/>
      <c r="AG40" s="1"/>
      <c r="AH40" s="1"/>
      <c r="AI40" s="1"/>
      <c r="AJ40" s="1"/>
      <c r="AK40" s="1"/>
      <c r="AL40" s="8" t="s">
        <v>95</v>
      </c>
      <c r="AM40" s="9">
        <v>0</v>
      </c>
      <c r="AO40" s="3">
        <v>10</v>
      </c>
      <c r="AX40" s="36"/>
      <c r="AY40" s="20"/>
      <c r="AZ40" s="20"/>
      <c r="BA40" s="20"/>
      <c r="BB40" s="20"/>
      <c r="BC40" s="20"/>
      <c r="BD40" s="20"/>
      <c r="BE40" s="20"/>
      <c r="BF40" s="20"/>
      <c r="BG40" s="20"/>
    </row>
    <row r="41" spans="1:107" ht="12.75" customHeight="1" x14ac:dyDescent="0.2">
      <c r="A41" s="64"/>
      <c r="B41" s="154" t="s">
        <v>134</v>
      </c>
      <c r="C41" s="150"/>
      <c r="D41" s="150"/>
      <c r="E41" s="150"/>
      <c r="F41" s="151"/>
      <c r="G41" s="35" t="s">
        <v>95</v>
      </c>
      <c r="H41" s="35" t="s">
        <v>95</v>
      </c>
      <c r="I41" s="35" t="s">
        <v>95</v>
      </c>
      <c r="J41" s="35" t="s">
        <v>95</v>
      </c>
      <c r="K41" s="65"/>
      <c r="L41" s="65"/>
      <c r="M41" s="65"/>
      <c r="N41" s="65"/>
      <c r="O41" s="65"/>
      <c r="P41" s="65"/>
      <c r="Q41" s="65"/>
      <c r="R41" s="65"/>
      <c r="S41" s="65"/>
      <c r="T41" s="65"/>
      <c r="U41" s="65"/>
      <c r="V41" s="65"/>
      <c r="W41" s="65"/>
      <c r="X41" s="65"/>
      <c r="Y41" s="65"/>
      <c r="Z41" s="65"/>
      <c r="AA41" s="65"/>
      <c r="AB41" s="65"/>
      <c r="AC41" s="65"/>
      <c r="AD41" s="65"/>
      <c r="AE41" s="65"/>
      <c r="AF41" s="65"/>
      <c r="AG41" s="1"/>
      <c r="AH41" s="1"/>
      <c r="AI41" s="1"/>
      <c r="AJ41" s="1"/>
      <c r="AK41" s="1"/>
      <c r="AX41" s="36"/>
      <c r="AY41" s="20"/>
      <c r="AZ41" s="20"/>
      <c r="BA41" s="20"/>
      <c r="BB41" s="20"/>
      <c r="BC41" s="20"/>
      <c r="BD41" s="20"/>
      <c r="BE41" s="20"/>
      <c r="BF41" s="20"/>
      <c r="BG41" s="20"/>
    </row>
    <row r="42" spans="1:107" ht="12.75" customHeight="1" x14ac:dyDescent="0.2">
      <c r="A42" s="64"/>
      <c r="B42" s="147" t="s">
        <v>97</v>
      </c>
      <c r="C42" s="150"/>
      <c r="D42" s="150"/>
      <c r="E42" s="150"/>
      <c r="F42" s="151"/>
      <c r="G42" s="35" t="s">
        <v>95</v>
      </c>
      <c r="H42" s="35" t="s">
        <v>95</v>
      </c>
      <c r="I42" s="35" t="s">
        <v>95</v>
      </c>
      <c r="J42" s="35" t="s">
        <v>95</v>
      </c>
      <c r="K42" s="65"/>
      <c r="L42" s="65"/>
      <c r="M42" s="65"/>
      <c r="N42" s="94"/>
      <c r="O42" s="94"/>
      <c r="P42" s="94"/>
      <c r="Q42" s="43"/>
      <c r="R42" s="43"/>
      <c r="S42" s="43"/>
      <c r="T42" s="43"/>
      <c r="U42" s="65"/>
      <c r="V42" s="65"/>
      <c r="W42" s="65"/>
      <c r="X42" s="65"/>
      <c r="Y42" s="65"/>
      <c r="Z42" s="65"/>
      <c r="AA42" s="65"/>
      <c r="AB42" s="65"/>
      <c r="AC42" s="65"/>
      <c r="AD42" s="65"/>
      <c r="AE42" s="65"/>
      <c r="AF42" s="65"/>
      <c r="AG42" s="1"/>
      <c r="AH42" s="1"/>
      <c r="AI42" s="1"/>
      <c r="AJ42" s="1"/>
      <c r="AK42" s="1"/>
      <c r="AL42" s="2" t="s">
        <v>98</v>
      </c>
      <c r="AS42" s="18"/>
      <c r="AT42" s="18"/>
      <c r="AU42" s="18"/>
      <c r="AV42" s="18"/>
      <c r="AW42" s="18"/>
      <c r="AX42" s="18"/>
      <c r="AY42" s="18"/>
      <c r="AZ42" s="18"/>
      <c r="BA42" s="18"/>
      <c r="BB42" s="18"/>
      <c r="BC42" s="18"/>
      <c r="BD42" s="20"/>
      <c r="BE42" s="20"/>
      <c r="BF42" s="20"/>
      <c r="BG42" s="20"/>
    </row>
    <row r="43" spans="1:107" ht="12.75" customHeight="1" x14ac:dyDescent="0.2">
      <c r="A43" s="64"/>
      <c r="B43" s="95"/>
      <c r="C43" s="95"/>
      <c r="D43" s="95"/>
      <c r="E43" s="95"/>
      <c r="F43" s="95"/>
      <c r="G43" s="96"/>
      <c r="H43" s="96"/>
      <c r="I43" s="96"/>
      <c r="J43" s="96"/>
      <c r="K43" s="65"/>
      <c r="L43" s="65"/>
      <c r="M43" s="65"/>
      <c r="N43" s="94"/>
      <c r="O43" s="94"/>
      <c r="P43" s="94"/>
      <c r="Q43" s="43"/>
      <c r="R43" s="43"/>
      <c r="S43" s="43"/>
      <c r="T43" s="43"/>
      <c r="U43" s="65"/>
      <c r="V43" s="65"/>
      <c r="W43" s="65"/>
      <c r="X43" s="65"/>
      <c r="Y43" s="65"/>
      <c r="Z43" s="65"/>
      <c r="AA43" s="65"/>
      <c r="AB43" s="65"/>
      <c r="AC43" s="65"/>
      <c r="AD43" s="65"/>
      <c r="AE43" s="65"/>
      <c r="AF43" s="65"/>
      <c r="AG43" s="1"/>
      <c r="AH43" s="1"/>
      <c r="AI43" s="1"/>
      <c r="AJ43" s="1"/>
      <c r="AK43" s="1"/>
      <c r="AL43" s="8" t="s">
        <v>99</v>
      </c>
      <c r="AS43" s="18"/>
      <c r="AT43" s="18"/>
      <c r="AU43" s="18"/>
      <c r="AV43" s="18"/>
      <c r="AW43" s="18"/>
      <c r="AX43" s="18"/>
      <c r="AY43" s="18"/>
      <c r="AZ43" s="18"/>
      <c r="BA43" s="18"/>
      <c r="BB43" s="20"/>
      <c r="BC43" s="20"/>
      <c r="BD43" s="20"/>
      <c r="BE43" s="20"/>
      <c r="BF43" s="20"/>
      <c r="BG43" s="20"/>
    </row>
    <row r="44" spans="1:107" ht="12.75" customHeight="1" x14ac:dyDescent="0.2">
      <c r="A44" s="64"/>
      <c r="B44" s="155" t="s">
        <v>148</v>
      </c>
      <c r="C44" s="120"/>
      <c r="D44" s="120"/>
      <c r="E44" s="120"/>
      <c r="F44" s="120"/>
      <c r="G44" s="97"/>
      <c r="H44" s="97"/>
      <c r="I44" s="97"/>
      <c r="J44" s="97"/>
      <c r="K44" s="65"/>
      <c r="L44" s="65"/>
      <c r="M44" s="65"/>
      <c r="N44" s="65"/>
      <c r="O44" s="65"/>
      <c r="P44" s="65"/>
      <c r="Q44" s="65"/>
      <c r="R44" s="65"/>
      <c r="S44" s="65"/>
      <c r="T44" s="65"/>
      <c r="U44" s="65"/>
      <c r="V44" s="65"/>
      <c r="W44" s="65"/>
      <c r="X44" s="65"/>
      <c r="Y44" s="65"/>
      <c r="Z44" s="65"/>
      <c r="AA44" s="65"/>
      <c r="AB44" s="65"/>
      <c r="AC44" s="65"/>
      <c r="AD44" s="65"/>
      <c r="AE44" s="65"/>
      <c r="AF44" s="65"/>
      <c r="AL44" s="8" t="s">
        <v>100</v>
      </c>
      <c r="AS44" s="18"/>
      <c r="AT44" s="18"/>
      <c r="AU44" s="18"/>
      <c r="AV44" s="18"/>
      <c r="AW44" s="18"/>
      <c r="AX44" s="18"/>
      <c r="AY44" s="18"/>
      <c r="AZ44" s="18"/>
      <c r="BA44" s="18"/>
      <c r="BB44" s="20"/>
      <c r="BC44" s="20"/>
      <c r="BD44" s="20"/>
      <c r="BE44" s="20"/>
      <c r="BF44" s="20"/>
      <c r="BG44" s="20"/>
    </row>
    <row r="45" spans="1:107" ht="12.75" customHeight="1" x14ac:dyDescent="0.2">
      <c r="A45" s="64"/>
      <c r="B45" s="147" t="s">
        <v>101</v>
      </c>
      <c r="C45" s="148"/>
      <c r="D45" s="148"/>
      <c r="E45" s="148"/>
      <c r="F45" s="149"/>
      <c r="G45" s="35">
        <v>59</v>
      </c>
      <c r="H45" s="35">
        <v>27</v>
      </c>
      <c r="I45" s="35">
        <v>59</v>
      </c>
      <c r="J45" s="35">
        <v>27</v>
      </c>
      <c r="K45" s="65"/>
      <c r="L45" s="65"/>
      <c r="M45" s="65"/>
      <c r="N45" s="65"/>
      <c r="O45" s="65"/>
      <c r="P45" s="65"/>
      <c r="Q45" s="65"/>
      <c r="R45" s="65"/>
      <c r="S45" s="65"/>
      <c r="T45" s="65"/>
      <c r="U45" s="65"/>
      <c r="V45" s="65"/>
      <c r="W45" s="65"/>
      <c r="X45" s="65"/>
      <c r="Y45" s="65"/>
      <c r="Z45" s="65"/>
      <c r="AA45" s="65"/>
      <c r="AB45" s="65"/>
      <c r="AC45" s="65"/>
      <c r="AD45" s="65"/>
      <c r="AE45" s="65"/>
      <c r="AF45" s="65"/>
      <c r="AL45" s="16"/>
      <c r="AS45" s="18"/>
      <c r="AT45" s="18"/>
      <c r="AU45" s="18"/>
      <c r="AV45" s="18"/>
      <c r="AW45" s="18"/>
      <c r="AX45" s="18"/>
      <c r="AY45" s="18"/>
      <c r="AZ45" s="18"/>
      <c r="BA45" s="18"/>
      <c r="BB45" s="20"/>
      <c r="BC45" s="20"/>
      <c r="BD45" s="20"/>
      <c r="BE45" s="20"/>
      <c r="BF45" s="20"/>
      <c r="BG45" s="20"/>
    </row>
    <row r="46" spans="1:107" ht="12.75" customHeight="1" x14ac:dyDescent="0.2">
      <c r="A46" s="64"/>
      <c r="B46" s="156" t="s">
        <v>102</v>
      </c>
      <c r="C46" s="148"/>
      <c r="D46" s="148"/>
      <c r="E46" s="148"/>
      <c r="F46" s="149"/>
      <c r="G46" s="115">
        <f>IFERROR((V10/24)/((G$45/$D$27)*G$35*$AL$47),0)</f>
        <v>0.2636357593885012</v>
      </c>
      <c r="H46" s="115">
        <f>IFERROR((AA15/24)/((H$45/$D$27)*H$35*$AL$47),0)</f>
        <v>0.40793028322440084</v>
      </c>
      <c r="I46" s="115">
        <f>IFERROR((V20/24)/((I$45/$D$27)*I$35*$AL$47),0)</f>
        <v>0.26718511133266865</v>
      </c>
      <c r="J46" s="115">
        <f>IFERROR((Q15/24)/((J$45/$D$27)*J$35*$AL$47),0)</f>
        <v>0.23076252723311547</v>
      </c>
      <c r="K46" s="65"/>
      <c r="L46" s="65"/>
      <c r="M46" s="65"/>
      <c r="N46" s="65"/>
      <c r="O46" s="65"/>
      <c r="P46" s="65"/>
      <c r="Q46" s="65"/>
      <c r="R46" s="65"/>
      <c r="S46" s="65"/>
      <c r="T46" s="65"/>
      <c r="U46" s="65"/>
      <c r="V46" s="65"/>
      <c r="W46" s="65"/>
      <c r="X46" s="65"/>
      <c r="Y46" s="65"/>
      <c r="Z46" s="65"/>
      <c r="AA46" s="65"/>
      <c r="AB46" s="65"/>
      <c r="AC46" s="65"/>
      <c r="AD46" s="65"/>
      <c r="AE46" s="65"/>
      <c r="AF46" s="65"/>
      <c r="AL46" s="2" t="s">
        <v>103</v>
      </c>
      <c r="AS46" s="18"/>
      <c r="AT46" s="18"/>
      <c r="AU46" s="18"/>
      <c r="AV46" s="18"/>
      <c r="AW46" s="18"/>
      <c r="AX46" s="18"/>
      <c r="AY46" s="18"/>
      <c r="AZ46" s="18"/>
      <c r="BA46" s="18"/>
      <c r="BB46" s="20"/>
      <c r="BC46" s="20"/>
      <c r="BD46" s="20"/>
      <c r="BE46" s="20"/>
      <c r="BF46" s="20"/>
      <c r="BG46" s="20"/>
    </row>
    <row r="47" spans="1:107" ht="12.75" customHeight="1" x14ac:dyDescent="0.2">
      <c r="A47" s="64"/>
      <c r="B47" s="154" t="s">
        <v>149</v>
      </c>
      <c r="C47" s="148"/>
      <c r="D47" s="148"/>
      <c r="E47" s="148"/>
      <c r="F47" s="149"/>
      <c r="G47" s="35" t="s">
        <v>163</v>
      </c>
      <c r="H47" s="35" t="s">
        <v>163</v>
      </c>
      <c r="I47" s="35" t="s">
        <v>163</v>
      </c>
      <c r="J47" s="35" t="s">
        <v>163</v>
      </c>
      <c r="K47" s="65"/>
      <c r="L47" s="65"/>
      <c r="M47" s="65"/>
      <c r="N47" s="65"/>
      <c r="O47" s="65"/>
      <c r="P47" s="65"/>
      <c r="Q47" s="65"/>
      <c r="R47" s="65"/>
      <c r="S47" s="65"/>
      <c r="T47" s="65"/>
      <c r="U47" s="65"/>
      <c r="V47" s="65"/>
      <c r="W47" s="65"/>
      <c r="X47" s="65"/>
      <c r="Y47" s="65"/>
      <c r="Z47" s="65"/>
      <c r="AA47" s="65"/>
      <c r="AB47" s="65"/>
      <c r="AC47" s="65"/>
      <c r="AD47" s="65"/>
      <c r="AE47" s="65"/>
      <c r="AF47" s="65"/>
      <c r="AL47" s="3">
        <v>1700</v>
      </c>
      <c r="AS47" s="18"/>
      <c r="AT47" s="18"/>
      <c r="AU47" s="18"/>
      <c r="AV47" s="18"/>
      <c r="AW47" s="18"/>
      <c r="AX47" s="18"/>
      <c r="AY47" s="18"/>
      <c r="AZ47" s="18"/>
      <c r="BA47" s="18"/>
      <c r="BB47" s="20"/>
      <c r="BC47" s="20"/>
      <c r="BD47" s="20"/>
      <c r="BE47" s="20"/>
      <c r="BF47" s="20"/>
      <c r="BG47" s="20"/>
    </row>
    <row r="48" spans="1:107" ht="12.75" customHeight="1" x14ac:dyDescent="0.2">
      <c r="A48" s="64"/>
      <c r="B48" s="147" t="s">
        <v>104</v>
      </c>
      <c r="C48" s="148"/>
      <c r="D48" s="148"/>
      <c r="E48" s="148"/>
      <c r="F48" s="149"/>
      <c r="G48" s="35" t="s">
        <v>163</v>
      </c>
      <c r="H48" s="35" t="s">
        <v>163</v>
      </c>
      <c r="I48" s="35" t="s">
        <v>163</v>
      </c>
      <c r="J48" s="35" t="s">
        <v>163</v>
      </c>
      <c r="K48" s="65"/>
      <c r="L48" s="65"/>
      <c r="M48" s="65"/>
      <c r="N48" s="65"/>
      <c r="O48" s="65"/>
      <c r="P48" s="65"/>
      <c r="Q48" s="65"/>
      <c r="R48" s="65"/>
      <c r="S48" s="65"/>
      <c r="T48" s="65"/>
      <c r="U48" s="65"/>
      <c r="V48" s="65"/>
      <c r="W48" s="65"/>
      <c r="X48" s="65"/>
      <c r="Y48" s="65"/>
      <c r="Z48" s="65"/>
      <c r="AA48" s="65"/>
      <c r="AB48" s="65"/>
      <c r="AC48" s="65"/>
      <c r="AD48" s="65"/>
      <c r="AE48" s="65"/>
      <c r="AF48" s="65"/>
      <c r="AS48" s="18"/>
      <c r="AT48" s="18"/>
      <c r="AU48" s="18"/>
      <c r="AV48" s="18"/>
      <c r="AW48" s="18"/>
      <c r="AX48" s="18"/>
      <c r="AY48" s="18"/>
      <c r="AZ48" s="18"/>
      <c r="BA48" s="18"/>
      <c r="BB48" s="20"/>
      <c r="BC48" s="20"/>
      <c r="BD48" s="20"/>
      <c r="BE48" s="20"/>
      <c r="BF48" s="20"/>
      <c r="BG48" s="20"/>
    </row>
    <row r="49" spans="1:59" ht="12.75" customHeight="1" x14ac:dyDescent="0.2">
      <c r="A49" s="64"/>
      <c r="B49" s="147" t="s">
        <v>105</v>
      </c>
      <c r="C49" s="148"/>
      <c r="D49" s="148"/>
      <c r="E49" s="148"/>
      <c r="F49" s="149"/>
      <c r="G49" s="35" t="s">
        <v>95</v>
      </c>
      <c r="H49" s="35" t="s">
        <v>95</v>
      </c>
      <c r="I49" s="35" t="s">
        <v>95</v>
      </c>
      <c r="J49" s="35" t="s">
        <v>95</v>
      </c>
      <c r="K49" s="65"/>
      <c r="L49" s="65"/>
      <c r="M49" s="65"/>
      <c r="N49" s="65"/>
      <c r="O49" s="65"/>
      <c r="P49" s="65"/>
      <c r="Q49" s="65"/>
      <c r="R49" s="65"/>
      <c r="S49" s="65"/>
      <c r="T49" s="65"/>
      <c r="U49" s="65"/>
      <c r="V49" s="65"/>
      <c r="W49" s="65"/>
      <c r="X49" s="65"/>
      <c r="Y49" s="65"/>
      <c r="Z49" s="65"/>
      <c r="AA49" s="65"/>
      <c r="AB49" s="65"/>
      <c r="AC49" s="65"/>
      <c r="AD49" s="65"/>
      <c r="AE49" s="65"/>
      <c r="AF49" s="65"/>
      <c r="AS49" s="18"/>
      <c r="AT49" s="18"/>
      <c r="AU49" s="18"/>
      <c r="AV49" s="18"/>
      <c r="AW49" s="18"/>
      <c r="AX49" s="18"/>
      <c r="AY49" s="18"/>
      <c r="AZ49" s="18"/>
      <c r="BA49" s="18"/>
      <c r="BB49" s="20"/>
      <c r="BC49" s="20"/>
      <c r="BD49" s="20"/>
      <c r="BE49" s="20"/>
      <c r="BF49" s="20"/>
      <c r="BG49" s="20"/>
    </row>
    <row r="50" spans="1:59" ht="12.75" customHeight="1" x14ac:dyDescent="0.2">
      <c r="A50" s="64"/>
      <c r="B50" s="95"/>
      <c r="C50" s="95"/>
      <c r="D50" s="95"/>
      <c r="E50" s="95"/>
      <c r="F50" s="98"/>
      <c r="G50" s="96"/>
      <c r="H50" s="96"/>
      <c r="I50" s="96"/>
      <c r="J50" s="96"/>
      <c r="K50" s="65"/>
      <c r="L50" s="65"/>
      <c r="M50" s="65"/>
      <c r="N50" s="65"/>
      <c r="O50" s="65"/>
      <c r="P50" s="65"/>
      <c r="Q50" s="65"/>
      <c r="R50" s="65"/>
      <c r="S50" s="65"/>
      <c r="T50" s="65"/>
      <c r="U50" s="65"/>
      <c r="V50" s="65"/>
      <c r="W50" s="65"/>
      <c r="X50" s="65"/>
      <c r="Y50" s="65"/>
      <c r="Z50" s="65"/>
      <c r="AA50" s="65"/>
      <c r="AB50" s="65"/>
      <c r="AC50" s="65"/>
      <c r="AD50" s="65"/>
      <c r="AE50" s="65"/>
      <c r="AF50" s="65"/>
      <c r="AM50" s="24" t="s">
        <v>106</v>
      </c>
      <c r="AX50" s="36"/>
      <c r="AY50" s="20"/>
      <c r="AZ50" s="20"/>
      <c r="BA50" s="20"/>
      <c r="BB50" s="20"/>
      <c r="BC50" s="20"/>
      <c r="BD50" s="20"/>
      <c r="BE50" s="20"/>
      <c r="BF50" s="20"/>
      <c r="BG50" s="20"/>
    </row>
    <row r="51" spans="1:59" ht="12.75" customHeight="1" x14ac:dyDescent="0.2">
      <c r="A51" s="64"/>
      <c r="B51" s="155" t="s">
        <v>107</v>
      </c>
      <c r="C51" s="120"/>
      <c r="D51" s="120"/>
      <c r="E51" s="120"/>
      <c r="F51" s="120"/>
      <c r="G51" s="97"/>
      <c r="H51" s="97"/>
      <c r="I51" s="97"/>
      <c r="J51" s="97"/>
      <c r="K51" s="65"/>
      <c r="L51" s="65"/>
      <c r="M51" s="65"/>
      <c r="N51" s="65"/>
      <c r="O51" s="65"/>
      <c r="P51" s="65"/>
      <c r="Q51" s="65"/>
      <c r="R51" s="65"/>
      <c r="S51" s="65"/>
      <c r="T51" s="65"/>
      <c r="U51" s="65"/>
      <c r="V51" s="65"/>
      <c r="W51" s="65"/>
      <c r="X51" s="65"/>
      <c r="Y51" s="65"/>
      <c r="Z51" s="65"/>
      <c r="AA51" s="65"/>
      <c r="AB51" s="65"/>
      <c r="AC51" s="65"/>
      <c r="AD51" s="65"/>
      <c r="AE51" s="65"/>
      <c r="AF51" s="65"/>
      <c r="AL51" s="2" t="s">
        <v>42</v>
      </c>
      <c r="AM51" s="40">
        <f>93/806</f>
        <v>0.11538461538461539</v>
      </c>
      <c r="AX51" s="36"/>
      <c r="AY51" s="20"/>
      <c r="AZ51" s="20"/>
      <c r="BA51" s="20"/>
      <c r="BB51" s="20"/>
      <c r="BC51" s="20"/>
      <c r="BD51" s="20"/>
      <c r="BE51" s="20"/>
      <c r="BF51" s="20"/>
      <c r="BG51" s="20"/>
    </row>
    <row r="52" spans="1:59" ht="12.75" customHeight="1" x14ac:dyDescent="0.2">
      <c r="A52" s="64"/>
      <c r="B52" s="147" t="s">
        <v>108</v>
      </c>
      <c r="C52" s="148"/>
      <c r="D52" s="148"/>
      <c r="E52" s="148"/>
      <c r="F52" s="149"/>
      <c r="G52" s="35" t="s">
        <v>95</v>
      </c>
      <c r="H52" s="35" t="s">
        <v>95</v>
      </c>
      <c r="I52" s="35" t="s">
        <v>95</v>
      </c>
      <c r="J52" s="35" t="s">
        <v>95</v>
      </c>
      <c r="K52" s="65"/>
      <c r="L52" s="65"/>
      <c r="M52" s="65"/>
      <c r="N52" s="65"/>
      <c r="O52" s="65"/>
      <c r="P52" s="65"/>
      <c r="Q52" s="65"/>
      <c r="R52" s="65"/>
      <c r="S52" s="65"/>
      <c r="T52" s="65"/>
      <c r="U52" s="65"/>
      <c r="V52" s="65"/>
      <c r="W52" s="65"/>
      <c r="X52" s="65"/>
      <c r="Y52" s="65"/>
      <c r="Z52" s="65"/>
      <c r="AA52" s="65"/>
      <c r="AB52" s="65"/>
      <c r="AC52" s="65"/>
      <c r="AD52" s="65"/>
      <c r="AE52" s="65"/>
      <c r="AF52" s="65"/>
      <c r="AL52" s="2" t="s">
        <v>1</v>
      </c>
      <c r="AM52" s="40">
        <f>23/141</f>
        <v>0.16312056737588654</v>
      </c>
      <c r="AX52" s="36"/>
      <c r="AY52" s="20"/>
      <c r="AZ52" s="20"/>
      <c r="BA52" s="20"/>
      <c r="BB52" s="20"/>
      <c r="BC52" s="20"/>
      <c r="BD52" s="20"/>
      <c r="BE52" s="20"/>
      <c r="BF52" s="20"/>
      <c r="BG52" s="20"/>
    </row>
    <row r="53" spans="1:59" ht="12.75" customHeight="1" x14ac:dyDescent="0.2">
      <c r="A53" s="64"/>
      <c r="B53" s="147" t="s">
        <v>109</v>
      </c>
      <c r="C53" s="148"/>
      <c r="D53" s="148"/>
      <c r="E53" s="148"/>
      <c r="F53" s="149"/>
      <c r="G53" s="35" t="s">
        <v>92</v>
      </c>
      <c r="H53" s="35" t="s">
        <v>95</v>
      </c>
      <c r="I53" s="35" t="s">
        <v>95</v>
      </c>
      <c r="J53" s="35" t="s">
        <v>95</v>
      </c>
      <c r="K53" s="65"/>
      <c r="L53" s="65"/>
      <c r="M53" s="65"/>
      <c r="N53" s="65"/>
      <c r="O53" s="65"/>
      <c r="P53" s="65"/>
      <c r="Q53" s="65"/>
      <c r="R53" s="65"/>
      <c r="S53" s="65"/>
      <c r="T53" s="65"/>
      <c r="U53" s="65"/>
      <c r="V53" s="65"/>
      <c r="W53" s="65"/>
      <c r="X53" s="65"/>
      <c r="Y53" s="65"/>
      <c r="Z53" s="65"/>
      <c r="AA53" s="65"/>
      <c r="AB53" s="65"/>
      <c r="AC53" s="65"/>
      <c r="AD53" s="65"/>
      <c r="AE53" s="64"/>
      <c r="AF53" s="65"/>
      <c r="AL53" s="2" t="s">
        <v>110</v>
      </c>
      <c r="AM53" s="40">
        <f>39/174</f>
        <v>0.22413793103448276</v>
      </c>
      <c r="AX53" s="36"/>
      <c r="AY53" s="20"/>
      <c r="AZ53" s="20"/>
      <c r="BA53" s="20"/>
      <c r="BB53" s="20"/>
      <c r="BC53" s="20"/>
      <c r="BD53" s="20"/>
      <c r="BE53" s="20"/>
      <c r="BF53" s="20"/>
      <c r="BG53" s="20"/>
    </row>
    <row r="54" spans="1:59" ht="12.75" customHeight="1" x14ac:dyDescent="0.2">
      <c r="A54" s="64"/>
      <c r="B54" s="147" t="s">
        <v>111</v>
      </c>
      <c r="C54" s="148"/>
      <c r="D54" s="148"/>
      <c r="E54" s="148"/>
      <c r="F54" s="149"/>
      <c r="G54" s="35" t="s">
        <v>92</v>
      </c>
      <c r="H54" s="35" t="s">
        <v>92</v>
      </c>
      <c r="I54" s="35" t="s">
        <v>92</v>
      </c>
      <c r="J54" s="35" t="s">
        <v>92</v>
      </c>
      <c r="K54" s="65"/>
      <c r="L54" s="65"/>
      <c r="M54" s="65"/>
      <c r="N54" s="65"/>
      <c r="O54" s="65"/>
      <c r="P54" s="65"/>
      <c r="Q54" s="65"/>
      <c r="R54" s="65"/>
      <c r="S54" s="65"/>
      <c r="T54" s="65"/>
      <c r="U54" s="65"/>
      <c r="V54" s="65"/>
      <c r="W54" s="65"/>
      <c r="X54" s="65"/>
      <c r="Y54" s="65"/>
      <c r="Z54" s="65"/>
      <c r="AA54" s="65"/>
      <c r="AB54" s="65"/>
      <c r="AC54" s="65"/>
      <c r="AD54" s="65"/>
      <c r="AE54" s="42"/>
      <c r="AF54" s="65"/>
      <c r="AX54" s="36"/>
      <c r="AY54" s="20"/>
      <c r="AZ54" s="20"/>
      <c r="BA54" s="20"/>
      <c r="BB54" s="20"/>
      <c r="BC54" s="20"/>
      <c r="BD54" s="20"/>
      <c r="BE54" s="20"/>
      <c r="BF54" s="20"/>
      <c r="BG54" s="20"/>
    </row>
    <row r="55" spans="1:59" ht="12.75" customHeight="1" x14ac:dyDescent="0.2">
      <c r="A55" s="64"/>
      <c r="B55" s="147" t="s">
        <v>112</v>
      </c>
      <c r="C55" s="148"/>
      <c r="D55" s="148"/>
      <c r="E55" s="148"/>
      <c r="F55" s="149"/>
      <c r="G55" s="35" t="s">
        <v>100</v>
      </c>
      <c r="H55" s="35" t="s">
        <v>100</v>
      </c>
      <c r="I55" s="35" t="s">
        <v>100</v>
      </c>
      <c r="J55" s="35" t="s">
        <v>100</v>
      </c>
      <c r="K55" s="65"/>
      <c r="L55" s="65"/>
      <c r="M55" s="65"/>
      <c r="N55" s="65"/>
      <c r="O55" s="65"/>
      <c r="P55" s="65"/>
      <c r="Q55" s="65"/>
      <c r="R55" s="65"/>
      <c r="S55" s="65"/>
      <c r="T55" s="65"/>
      <c r="U55" s="65"/>
      <c r="V55" s="65"/>
      <c r="W55" s="65"/>
      <c r="X55" s="65"/>
      <c r="Y55" s="65"/>
      <c r="Z55" s="65"/>
      <c r="AA55" s="65"/>
      <c r="AB55" s="65"/>
      <c r="AC55" s="65"/>
      <c r="AD55" s="65"/>
      <c r="AE55" s="42"/>
      <c r="AF55" s="65"/>
      <c r="AX55" s="36"/>
      <c r="AY55" s="20"/>
      <c r="AZ55" s="20"/>
      <c r="BA55" s="20"/>
      <c r="BB55" s="20"/>
      <c r="BC55" s="20"/>
      <c r="BD55" s="20"/>
      <c r="BE55" s="20"/>
      <c r="BF55" s="20"/>
      <c r="BG55" s="20"/>
    </row>
    <row r="56" spans="1:59" ht="12.75" customHeight="1" x14ac:dyDescent="0.2">
      <c r="A56" s="64"/>
      <c r="B56" s="64"/>
      <c r="C56" s="64"/>
      <c r="D56" s="64"/>
      <c r="E56" s="64"/>
      <c r="F56" s="64"/>
      <c r="G56" s="64"/>
      <c r="H56" s="64"/>
      <c r="I56" s="64"/>
      <c r="J56" s="64"/>
      <c r="K56" s="65"/>
      <c r="L56" s="65"/>
      <c r="M56" s="65"/>
      <c r="N56" s="99"/>
      <c r="O56" s="99"/>
      <c r="P56" s="99"/>
      <c r="Q56" s="42"/>
      <c r="R56" s="42"/>
      <c r="S56" s="42"/>
      <c r="T56" s="42"/>
      <c r="U56" s="42"/>
      <c r="V56" s="42"/>
      <c r="W56" s="42"/>
      <c r="X56" s="42"/>
      <c r="Y56" s="42"/>
      <c r="Z56" s="42"/>
      <c r="AA56" s="42"/>
      <c r="AB56" s="42"/>
      <c r="AC56" s="42"/>
      <c r="AD56" s="42"/>
      <c r="AE56" s="42"/>
      <c r="AF56" s="65"/>
      <c r="AX56" s="36"/>
      <c r="AY56" s="20"/>
      <c r="AZ56" s="20"/>
      <c r="BA56" s="20"/>
      <c r="BB56" s="20"/>
      <c r="BC56" s="20"/>
      <c r="BD56" s="20"/>
      <c r="BE56" s="20"/>
      <c r="BF56" s="20"/>
      <c r="BG56" s="20"/>
    </row>
    <row r="57" spans="1:59" x14ac:dyDescent="0.2">
      <c r="A57" s="64"/>
      <c r="B57" s="64"/>
      <c r="C57" s="64"/>
      <c r="D57" s="64"/>
      <c r="E57" s="64"/>
      <c r="F57" s="64"/>
      <c r="G57" s="64"/>
      <c r="H57" s="64"/>
      <c r="I57" s="64"/>
      <c r="J57" s="64"/>
      <c r="K57" s="65"/>
      <c r="L57" s="65"/>
      <c r="M57" s="65"/>
      <c r="N57" s="65"/>
      <c r="O57" s="65"/>
      <c r="P57" s="65"/>
      <c r="Q57" s="65"/>
      <c r="R57" s="65"/>
      <c r="S57" s="65"/>
      <c r="T57" s="65"/>
      <c r="U57" s="65"/>
      <c r="V57" s="65"/>
      <c r="W57" s="65"/>
      <c r="X57" s="65"/>
      <c r="Y57" s="65"/>
      <c r="Z57" s="65"/>
      <c r="AA57" s="65"/>
      <c r="AB57" s="65"/>
      <c r="AC57" s="65"/>
      <c r="AD57" s="65"/>
      <c r="AE57" s="42"/>
      <c r="AF57" s="65"/>
      <c r="AP57" s="41" t="s">
        <v>113</v>
      </c>
      <c r="AQ57" s="41" t="s">
        <v>114</v>
      </c>
      <c r="AX57" s="36"/>
      <c r="AY57" s="20"/>
      <c r="AZ57" s="20"/>
      <c r="BA57" s="20"/>
      <c r="BB57" s="20"/>
      <c r="BC57" s="20"/>
      <c r="BD57" s="20"/>
      <c r="BE57" s="20"/>
      <c r="BF57" s="20"/>
      <c r="BG57" s="20"/>
    </row>
    <row r="58" spans="1:59" x14ac:dyDescent="0.2">
      <c r="A58" s="64"/>
      <c r="B58" s="64"/>
      <c r="C58" s="64"/>
      <c r="D58" s="64"/>
      <c r="E58" s="64"/>
      <c r="F58" s="64"/>
      <c r="G58" s="64"/>
      <c r="H58" s="64"/>
      <c r="I58" s="64"/>
      <c r="J58" s="64"/>
      <c r="K58" s="65"/>
      <c r="L58" s="65"/>
      <c r="M58" s="65"/>
      <c r="N58" s="65"/>
      <c r="O58" s="65"/>
      <c r="P58" s="65"/>
      <c r="Q58" s="65"/>
      <c r="R58" s="65"/>
      <c r="S58" s="65"/>
      <c r="T58" s="65"/>
      <c r="U58" s="65"/>
      <c r="V58" s="65"/>
      <c r="W58" s="65"/>
      <c r="X58" s="65"/>
      <c r="Y58" s="65"/>
      <c r="Z58" s="65"/>
      <c r="AA58" s="65"/>
      <c r="AB58" s="65"/>
      <c r="AC58" s="65"/>
      <c r="AD58" s="65"/>
      <c r="AE58" s="65"/>
      <c r="AF58" s="65"/>
      <c r="AO58" s="2" t="s">
        <v>115</v>
      </c>
      <c r="AP58" s="20">
        <f>H64</f>
        <v>2.0742632081250818</v>
      </c>
      <c r="AQ58" s="20">
        <f>J64</f>
        <v>0.2540747956887367</v>
      </c>
      <c r="AX58" s="36"/>
      <c r="AY58" s="20"/>
      <c r="AZ58" s="20"/>
      <c r="BA58" s="20"/>
      <c r="BB58" s="20"/>
      <c r="BC58" s="20"/>
      <c r="BD58" s="20"/>
      <c r="BE58" s="20"/>
      <c r="BF58" s="20"/>
      <c r="BG58" s="20"/>
    </row>
    <row r="59" spans="1:59" x14ac:dyDescent="0.2">
      <c r="A59" s="64"/>
      <c r="B59" s="64"/>
      <c r="C59" s="64"/>
      <c r="D59" s="64"/>
      <c r="E59" s="90"/>
      <c r="F59" s="90"/>
      <c r="G59" s="90"/>
      <c r="H59" s="114" t="s">
        <v>133</v>
      </c>
      <c r="I59" s="100"/>
      <c r="J59" s="114" t="s">
        <v>114</v>
      </c>
      <c r="K59" s="101"/>
      <c r="L59" s="100"/>
      <c r="M59" s="100"/>
      <c r="N59" s="100"/>
      <c r="O59" s="102"/>
      <c r="P59" s="103"/>
      <c r="Q59" s="103"/>
      <c r="R59" s="103"/>
      <c r="S59" s="103"/>
      <c r="T59" s="103"/>
      <c r="U59" s="103"/>
      <c r="V59" s="65"/>
      <c r="W59" s="65"/>
      <c r="X59" s="65"/>
      <c r="Y59" s="65"/>
      <c r="Z59" s="65"/>
      <c r="AA59" s="65"/>
      <c r="AB59" s="65"/>
      <c r="AC59" s="65"/>
      <c r="AD59" s="65"/>
      <c r="AE59" s="65"/>
      <c r="AF59" s="65"/>
      <c r="AO59" s="2" t="s">
        <v>116</v>
      </c>
      <c r="AP59" s="3">
        <f>IF(AS59=0,1,AS59)</f>
        <v>1</v>
      </c>
      <c r="AQ59" s="3">
        <f>IF(AT59=0,1,AT59)</f>
        <v>4</v>
      </c>
      <c r="AS59" s="3">
        <f>ROUND(1/AP$58,0)</f>
        <v>0</v>
      </c>
      <c r="AT59" s="3">
        <f>ROUND(1/AQ$58,0)</f>
        <v>4</v>
      </c>
      <c r="AX59" s="36"/>
      <c r="AY59" s="20"/>
      <c r="AZ59" s="20"/>
      <c r="BA59" s="20"/>
      <c r="BB59" s="20"/>
      <c r="BC59" s="20"/>
      <c r="BD59" s="20"/>
      <c r="BE59" s="20"/>
      <c r="BF59" s="20"/>
      <c r="BG59" s="20"/>
    </row>
    <row r="60" spans="1:59" x14ac:dyDescent="0.2">
      <c r="A60" s="64"/>
      <c r="B60" s="64"/>
      <c r="C60" s="64"/>
      <c r="D60" s="64"/>
      <c r="E60" s="90"/>
      <c r="F60" s="90"/>
      <c r="G60" s="57" t="s">
        <v>117</v>
      </c>
      <c r="H60" s="54">
        <f>N78</f>
        <v>1.8665443806716357</v>
      </c>
      <c r="I60" s="101" t="s">
        <v>115</v>
      </c>
      <c r="J60" s="54">
        <f>$H$60*$AM$51</f>
        <v>0.21537050546211184</v>
      </c>
      <c r="K60" s="101" t="s">
        <v>115</v>
      </c>
      <c r="L60" s="101"/>
      <c r="M60" s="100"/>
      <c r="N60" s="100"/>
      <c r="O60" s="55"/>
      <c r="P60" s="103"/>
      <c r="Q60" s="103"/>
      <c r="R60" s="103"/>
      <c r="S60" s="103"/>
      <c r="T60" s="103"/>
      <c r="U60" s="103"/>
      <c r="V60" s="65"/>
      <c r="W60" s="65"/>
      <c r="X60" s="65"/>
      <c r="Y60" s="65"/>
      <c r="Z60" s="65"/>
      <c r="AA60" s="65"/>
      <c r="AB60" s="65"/>
      <c r="AC60" s="65"/>
      <c r="AD60" s="65"/>
      <c r="AE60" s="65"/>
      <c r="AF60" s="65"/>
      <c r="AO60" s="2" t="s">
        <v>118</v>
      </c>
      <c r="AP60" s="3">
        <f t="shared" ref="AP60:AP62" si="4">IF(AS60=0,1,AS60)</f>
        <v>6</v>
      </c>
      <c r="AQ60" s="3">
        <f t="shared" ref="AQ60:AQ62" si="5">IF(AT60=0,1,AT60)</f>
        <v>47</v>
      </c>
      <c r="AS60" s="3">
        <f>ROUND(1/(AP$58/12),0)</f>
        <v>6</v>
      </c>
      <c r="AT60" s="3">
        <f>ROUND(1/(AQ$58/12),0)</f>
        <v>47</v>
      </c>
      <c r="AX60" s="36"/>
      <c r="AY60" s="20"/>
      <c r="AZ60" s="20"/>
      <c r="BA60" s="20"/>
      <c r="BB60" s="20"/>
      <c r="BC60" s="20"/>
      <c r="BD60" s="20"/>
      <c r="BE60" s="20"/>
      <c r="BF60" s="20"/>
      <c r="BG60" s="20"/>
    </row>
    <row r="61" spans="1:59" x14ac:dyDescent="0.2">
      <c r="A61" s="64"/>
      <c r="B61" s="64"/>
      <c r="C61" s="64"/>
      <c r="D61" s="64"/>
      <c r="E61" s="90"/>
      <c r="F61" s="90"/>
      <c r="G61" s="57" t="s">
        <v>119</v>
      </c>
      <c r="H61" s="56">
        <f>N84</f>
        <v>0.12870726502771329</v>
      </c>
      <c r="I61" s="101" t="s">
        <v>115</v>
      </c>
      <c r="J61" s="56">
        <f>$H$61*$AM$52</f>
        <v>2.0994802096719192E-2</v>
      </c>
      <c r="K61" s="101" t="s">
        <v>115</v>
      </c>
      <c r="L61" s="101"/>
      <c r="M61" s="100"/>
      <c r="N61" s="100"/>
      <c r="O61" s="55"/>
      <c r="P61" s="103"/>
      <c r="Q61" s="103"/>
      <c r="R61" s="103"/>
      <c r="S61" s="103"/>
      <c r="T61" s="103"/>
      <c r="U61" s="103"/>
      <c r="V61" s="65"/>
      <c r="W61" s="65"/>
      <c r="X61" s="65"/>
      <c r="Y61" s="65"/>
      <c r="Z61" s="65"/>
      <c r="AA61" s="65"/>
      <c r="AB61" s="65"/>
      <c r="AC61" s="65"/>
      <c r="AD61" s="65"/>
      <c r="AE61" s="65"/>
      <c r="AF61" s="65"/>
      <c r="AO61" s="2" t="s">
        <v>131</v>
      </c>
      <c r="AP61" s="3">
        <f t="shared" si="4"/>
        <v>25</v>
      </c>
      <c r="AQ61" s="3">
        <f t="shared" si="5"/>
        <v>205</v>
      </c>
      <c r="AS61" s="3">
        <f>ROUND(1/(AP$58/52),0)</f>
        <v>25</v>
      </c>
      <c r="AT61" s="3">
        <f>ROUND(1/(AQ$58/52),0)</f>
        <v>205</v>
      </c>
      <c r="AX61" s="36"/>
      <c r="AY61" s="20"/>
      <c r="AZ61" s="20"/>
      <c r="BA61" s="20"/>
      <c r="BB61" s="20"/>
      <c r="BC61" s="20"/>
      <c r="BD61" s="20"/>
      <c r="BE61" s="20"/>
      <c r="BF61" s="20"/>
      <c r="BG61" s="20"/>
    </row>
    <row r="62" spans="1:59" x14ac:dyDescent="0.2">
      <c r="A62" s="64"/>
      <c r="B62" s="64"/>
      <c r="C62" s="64"/>
      <c r="D62" s="64"/>
      <c r="E62" s="90"/>
      <c r="F62" s="90"/>
      <c r="G62" s="57" t="s">
        <v>120</v>
      </c>
      <c r="H62" s="58">
        <f>N89</f>
        <v>7.9011562425732942E-2</v>
      </c>
      <c r="I62" s="101" t="s">
        <v>115</v>
      </c>
      <c r="J62" s="58">
        <f>$H$62*$AM$53</f>
        <v>1.7709488129905662E-2</v>
      </c>
      <c r="K62" s="101" t="s">
        <v>115</v>
      </c>
      <c r="L62" s="101"/>
      <c r="M62" s="100"/>
      <c r="N62" s="100"/>
      <c r="O62" s="55"/>
      <c r="P62" s="103"/>
      <c r="Q62" s="103"/>
      <c r="R62" s="103"/>
      <c r="S62" s="103"/>
      <c r="T62" s="103"/>
      <c r="U62" s="103"/>
      <c r="V62" s="65"/>
      <c r="W62" s="65"/>
      <c r="X62" s="65"/>
      <c r="Y62" s="65"/>
      <c r="Z62" s="65"/>
      <c r="AA62" s="65"/>
      <c r="AB62" s="65"/>
      <c r="AC62" s="65"/>
      <c r="AD62" s="65"/>
      <c r="AE62" s="65"/>
      <c r="AF62" s="65"/>
      <c r="AO62" s="2" t="s">
        <v>132</v>
      </c>
      <c r="AP62" s="3">
        <f t="shared" si="4"/>
        <v>176</v>
      </c>
      <c r="AQ62" s="3">
        <f t="shared" si="5"/>
        <v>1437</v>
      </c>
      <c r="AS62" s="3">
        <f>ROUND(1/(AP$58/365),0)</f>
        <v>176</v>
      </c>
      <c r="AT62" s="3">
        <f>ROUND(1/(AQ$58/365),0)</f>
        <v>1437</v>
      </c>
      <c r="AX62" s="36"/>
      <c r="AY62" s="20"/>
      <c r="AZ62" s="20"/>
      <c r="BA62" s="20"/>
      <c r="BB62" s="20"/>
      <c r="BC62" s="20"/>
      <c r="BD62" s="20"/>
      <c r="BE62" s="20"/>
      <c r="BF62" s="20"/>
      <c r="BG62" s="20"/>
    </row>
    <row r="63" spans="1:59" x14ac:dyDescent="0.2">
      <c r="A63" s="64"/>
      <c r="B63" s="64"/>
      <c r="C63" s="64"/>
      <c r="D63" s="64"/>
      <c r="E63" s="90"/>
      <c r="F63" s="59"/>
      <c r="G63" s="60"/>
      <c r="H63" s="100"/>
      <c r="I63" s="100"/>
      <c r="J63" s="59"/>
      <c r="K63" s="60"/>
      <c r="L63" s="101"/>
      <c r="M63" s="100"/>
      <c r="N63" s="100"/>
      <c r="O63" s="55"/>
      <c r="P63" s="103"/>
      <c r="Q63" s="103"/>
      <c r="R63" s="103"/>
      <c r="S63" s="103"/>
      <c r="T63" s="103"/>
      <c r="U63" s="103"/>
      <c r="V63" s="65"/>
      <c r="W63" s="65"/>
      <c r="X63" s="65"/>
      <c r="Y63" s="65"/>
      <c r="Z63" s="65"/>
      <c r="AA63" s="65"/>
      <c r="AB63" s="65"/>
      <c r="AC63" s="65"/>
      <c r="AD63" s="65"/>
      <c r="AE63" s="65"/>
      <c r="AF63" s="65"/>
      <c r="AX63" s="36"/>
      <c r="AY63" s="20"/>
      <c r="AZ63" s="20"/>
      <c r="BA63" s="20"/>
      <c r="BB63" s="20"/>
      <c r="BC63" s="20"/>
      <c r="BD63" s="20"/>
      <c r="BE63" s="20"/>
      <c r="BF63" s="20"/>
      <c r="BG63" s="20"/>
    </row>
    <row r="64" spans="1:59" x14ac:dyDescent="0.2">
      <c r="A64" s="64"/>
      <c r="B64" s="64"/>
      <c r="C64" s="64"/>
      <c r="D64" s="64"/>
      <c r="E64" s="90"/>
      <c r="F64" s="59"/>
      <c r="G64" s="57" t="s">
        <v>121</v>
      </c>
      <c r="H64" s="104">
        <f>SUM($H$60:$H$62)</f>
        <v>2.0742632081250818</v>
      </c>
      <c r="I64" s="101" t="s">
        <v>115</v>
      </c>
      <c r="J64" s="104">
        <f>SUM($J$60:$J$62)</f>
        <v>0.2540747956887367</v>
      </c>
      <c r="K64" s="101" t="s">
        <v>115</v>
      </c>
      <c r="L64" s="101"/>
      <c r="M64" s="100"/>
      <c r="N64" s="100"/>
      <c r="O64" s="55"/>
      <c r="P64" s="103"/>
      <c r="Q64" s="103"/>
      <c r="R64" s="103"/>
      <c r="S64" s="103"/>
      <c r="T64" s="103"/>
      <c r="U64" s="103"/>
      <c r="V64" s="65"/>
      <c r="W64" s="65"/>
      <c r="X64" s="65"/>
      <c r="Y64" s="65"/>
      <c r="Z64" s="65"/>
      <c r="AA64" s="65"/>
      <c r="AB64" s="65"/>
      <c r="AC64" s="65"/>
      <c r="AD64" s="65"/>
      <c r="AE64" s="65"/>
      <c r="AF64" s="65"/>
      <c r="AX64" s="36"/>
      <c r="AY64" s="20"/>
      <c r="AZ64" s="20"/>
      <c r="BA64" s="20"/>
      <c r="BB64" s="20"/>
      <c r="BC64" s="20"/>
      <c r="BD64" s="20"/>
      <c r="BE64" s="20"/>
      <c r="BF64" s="20"/>
      <c r="BG64" s="20"/>
    </row>
    <row r="65" spans="1:59" x14ac:dyDescent="0.2">
      <c r="A65" s="64"/>
      <c r="B65" s="64"/>
      <c r="C65" s="64"/>
      <c r="D65" s="64"/>
      <c r="E65" s="90"/>
      <c r="F65" s="59"/>
      <c r="G65" s="60"/>
      <c r="H65" s="100"/>
      <c r="I65" s="100"/>
      <c r="J65" s="59"/>
      <c r="K65" s="60"/>
      <c r="L65" s="101"/>
      <c r="M65" s="100"/>
      <c r="N65" s="100"/>
      <c r="O65" s="55"/>
      <c r="P65" s="103"/>
      <c r="Q65" s="103"/>
      <c r="R65" s="103"/>
      <c r="S65" s="103"/>
      <c r="T65" s="103"/>
      <c r="U65" s="103"/>
      <c r="V65" s="65"/>
      <c r="W65" s="65"/>
      <c r="X65" s="65"/>
      <c r="Y65" s="65"/>
      <c r="Z65" s="65"/>
      <c r="AA65" s="65"/>
      <c r="AB65" s="65"/>
      <c r="AC65" s="65"/>
      <c r="AD65" s="65"/>
      <c r="AE65" s="65"/>
      <c r="AF65" s="65"/>
      <c r="AX65" s="36"/>
      <c r="AY65" s="20"/>
      <c r="AZ65" s="20"/>
      <c r="BA65" s="20"/>
      <c r="BB65" s="20"/>
      <c r="BC65" s="20"/>
      <c r="BD65" s="20"/>
      <c r="BE65" s="20"/>
      <c r="BF65" s="20"/>
      <c r="BG65" s="20"/>
    </row>
    <row r="66" spans="1:59" x14ac:dyDescent="0.2">
      <c r="A66" s="64"/>
      <c r="B66" s="64"/>
      <c r="C66" s="64"/>
      <c r="D66" s="64"/>
      <c r="E66" s="90"/>
      <c r="F66" s="59"/>
      <c r="G66" s="57" t="s">
        <v>122</v>
      </c>
      <c r="H66" s="105">
        <f>IFERROR(IF(AP$61=1,AP$62,IF(AP$60=1,AP$61,IF(AP$59=1,AP$60,AP$59))),0)</f>
        <v>6</v>
      </c>
      <c r="I66" s="100" t="str">
        <f>IFERROR(IF(AP$61=1,AO$62,IF(AP$60=1,AO$61,IF(AP$59=1,AO$60,AO$59))),"")</f>
        <v>months</v>
      </c>
      <c r="J66" s="105">
        <f>IFERROR(IF(AQ$61=1,AQ$62,IF(AQ$60=1,AQ$61,IF(AQ$59=1,AQ$60,AQ$59))),0)</f>
        <v>4</v>
      </c>
      <c r="K66" s="100" t="str">
        <f>IFERROR(IF(AQ$61=1,AO$62,IF(AQ$60=1,AO$61,IF(AQ$59=1,AO$60,AO$59))),"")</f>
        <v>years</v>
      </c>
      <c r="L66" s="101"/>
      <c r="M66" s="100"/>
      <c r="N66" s="100"/>
      <c r="O66" s="55"/>
      <c r="P66" s="103"/>
      <c r="Q66" s="103"/>
      <c r="R66" s="103"/>
      <c r="S66" s="103"/>
      <c r="T66" s="103"/>
      <c r="U66" s="103"/>
      <c r="V66" s="65"/>
      <c r="W66" s="65"/>
      <c r="X66" s="65"/>
      <c r="Y66" s="65"/>
      <c r="Z66" s="65"/>
      <c r="AA66" s="65"/>
      <c r="AB66" s="65"/>
      <c r="AC66" s="65"/>
      <c r="AD66" s="65"/>
      <c r="AE66" s="65"/>
      <c r="AF66" s="65"/>
      <c r="AX66" s="36"/>
      <c r="AY66" s="20"/>
      <c r="AZ66" s="20"/>
      <c r="BA66" s="20"/>
      <c r="BB66" s="20"/>
      <c r="BC66" s="20"/>
      <c r="BD66" s="20"/>
      <c r="BE66" s="20"/>
      <c r="BF66" s="20"/>
      <c r="BG66" s="20"/>
    </row>
    <row r="67" spans="1:59" x14ac:dyDescent="0.2">
      <c r="A67" s="64"/>
      <c r="B67" s="64"/>
      <c r="C67" s="64"/>
      <c r="D67" s="64"/>
      <c r="E67" s="90"/>
      <c r="F67" s="59"/>
      <c r="G67" s="60"/>
      <c r="H67" s="100"/>
      <c r="I67" s="100"/>
      <c r="J67" s="59"/>
      <c r="K67" s="60"/>
      <c r="L67" s="101"/>
      <c r="M67" s="100"/>
      <c r="N67" s="100"/>
      <c r="O67" s="55"/>
      <c r="P67" s="103"/>
      <c r="Q67" s="103"/>
      <c r="R67" s="103"/>
      <c r="S67" s="103"/>
      <c r="T67" s="103"/>
      <c r="U67" s="103"/>
      <c r="V67" s="65"/>
      <c r="W67" s="65"/>
      <c r="X67" s="65"/>
      <c r="Y67" s="65"/>
      <c r="Z67" s="65"/>
      <c r="AA67" s="65"/>
      <c r="AB67" s="65"/>
      <c r="AC67" s="65"/>
      <c r="AD67" s="65"/>
      <c r="AE67" s="65"/>
      <c r="AF67" s="65"/>
      <c r="AX67" s="36"/>
      <c r="AY67" s="20"/>
      <c r="AZ67" s="20"/>
      <c r="BA67" s="20"/>
      <c r="BB67" s="20"/>
      <c r="BC67" s="20"/>
      <c r="BD67" s="20"/>
      <c r="BE67" s="20"/>
      <c r="BF67" s="20"/>
      <c r="BG67" s="20"/>
    </row>
    <row r="68" spans="1:59" x14ac:dyDescent="0.2">
      <c r="A68" s="64"/>
      <c r="B68" s="43"/>
      <c r="C68" s="43"/>
      <c r="D68" s="64"/>
      <c r="E68" s="64"/>
      <c r="F68" s="64"/>
      <c r="G68" s="64"/>
      <c r="H68" s="64"/>
      <c r="I68" s="64"/>
      <c r="J68" s="64"/>
      <c r="K68" s="65"/>
      <c r="L68" s="65"/>
      <c r="M68" s="65"/>
      <c r="N68" s="65"/>
      <c r="O68" s="65"/>
      <c r="P68" s="65"/>
      <c r="Q68" s="65"/>
      <c r="R68" s="65"/>
      <c r="S68" s="65"/>
      <c r="T68" s="65"/>
      <c r="U68" s="65"/>
      <c r="V68" s="65"/>
      <c r="W68" s="65"/>
      <c r="X68" s="65"/>
      <c r="Y68" s="65"/>
      <c r="Z68" s="65"/>
      <c r="AA68" s="65"/>
      <c r="AB68" s="65"/>
      <c r="AC68" s="65"/>
      <c r="AD68" s="65"/>
      <c r="AE68" s="65"/>
      <c r="AF68" s="65"/>
      <c r="AX68" s="36"/>
      <c r="AY68" s="20"/>
      <c r="AZ68" s="20"/>
      <c r="BA68" s="20"/>
      <c r="BB68" s="20"/>
      <c r="BC68" s="20"/>
      <c r="BD68" s="20"/>
      <c r="BE68" s="20"/>
      <c r="BF68" s="20"/>
      <c r="BG68" s="20"/>
    </row>
    <row r="69" spans="1:59" x14ac:dyDescent="0.2">
      <c r="A69" s="64"/>
      <c r="B69" s="61" t="s">
        <v>123</v>
      </c>
      <c r="C69" s="62"/>
      <c r="D69" s="90"/>
      <c r="E69" s="90"/>
      <c r="F69" s="90"/>
      <c r="G69" s="90"/>
      <c r="H69" s="90"/>
      <c r="I69" s="90"/>
      <c r="J69" s="90"/>
      <c r="K69" s="91"/>
      <c r="L69" s="91"/>
      <c r="M69" s="91"/>
      <c r="N69" s="91"/>
      <c r="O69" s="91"/>
      <c r="P69" s="91"/>
      <c r="Q69" s="91"/>
      <c r="R69" s="91"/>
      <c r="S69" s="65"/>
      <c r="T69" s="65"/>
      <c r="U69" s="65"/>
      <c r="V69" s="65"/>
      <c r="W69" s="65"/>
      <c r="X69" s="65"/>
      <c r="Y69" s="65"/>
      <c r="Z69" s="65"/>
      <c r="AA69" s="65"/>
      <c r="AB69" s="65"/>
      <c r="AC69" s="65"/>
      <c r="AD69" s="65"/>
      <c r="AE69" s="65"/>
      <c r="AF69" s="65"/>
      <c r="AX69" s="36"/>
      <c r="AY69" s="20"/>
      <c r="AZ69" s="20"/>
      <c r="BA69" s="20"/>
      <c r="BB69" s="20"/>
      <c r="BC69" s="20"/>
      <c r="BD69" s="20"/>
      <c r="BE69" s="20"/>
      <c r="BF69" s="20"/>
      <c r="BG69" s="20"/>
    </row>
    <row r="70" spans="1:59" x14ac:dyDescent="0.2">
      <c r="A70" s="64"/>
      <c r="B70" s="63" t="s">
        <v>154</v>
      </c>
      <c r="C70" s="63"/>
      <c r="D70" s="106"/>
      <c r="E70" s="107" t="s">
        <v>155</v>
      </c>
      <c r="F70" s="106"/>
      <c r="G70" s="162" t="str">
        <f>G30</f>
        <v>Fitzgerald Avenue North</v>
      </c>
      <c r="H70" s="162" t="str">
        <f>H30</f>
        <v>Gloucester Street East</v>
      </c>
      <c r="I70" s="162" t="str">
        <f>I30</f>
        <v>Fitzgerald Avenue South</v>
      </c>
      <c r="J70" s="162" t="str">
        <f>J30</f>
        <v>Gloucester Street East</v>
      </c>
      <c r="K70" s="106"/>
      <c r="L70" s="106"/>
      <c r="M70" s="106"/>
      <c r="N70" s="157" t="s">
        <v>90</v>
      </c>
      <c r="O70" s="158"/>
      <c r="P70" s="106"/>
      <c r="Q70" s="157" t="s">
        <v>143</v>
      </c>
      <c r="R70" s="158"/>
      <c r="S70" s="65"/>
      <c r="T70" s="65"/>
      <c r="U70" s="65"/>
      <c r="V70" s="65"/>
      <c r="W70" s="65"/>
      <c r="X70" s="65"/>
      <c r="Y70" s="65"/>
      <c r="Z70" s="65"/>
      <c r="AA70" s="65"/>
      <c r="AB70" s="65"/>
      <c r="AC70" s="65"/>
      <c r="AD70" s="65"/>
      <c r="AE70" s="65"/>
      <c r="AF70" s="65"/>
      <c r="AX70" s="36"/>
      <c r="AY70" s="20"/>
      <c r="AZ70" s="20"/>
      <c r="BA70" s="20"/>
      <c r="BB70" s="20"/>
      <c r="BC70" s="20"/>
      <c r="BD70" s="20"/>
      <c r="BE70" s="20"/>
      <c r="BF70" s="20"/>
      <c r="BG70" s="20"/>
    </row>
    <row r="71" spans="1:59" ht="12.75" customHeight="1" x14ac:dyDescent="0.2">
      <c r="A71" s="64"/>
      <c r="B71" s="63"/>
      <c r="C71" s="106"/>
      <c r="D71" s="106"/>
      <c r="E71" s="107"/>
      <c r="F71" s="106"/>
      <c r="G71" s="163"/>
      <c r="H71" s="163"/>
      <c r="I71" s="163"/>
      <c r="J71" s="163"/>
      <c r="K71" s="106"/>
      <c r="L71" s="106"/>
      <c r="M71" s="106"/>
      <c r="N71" s="107"/>
      <c r="O71" s="107"/>
      <c r="P71" s="106"/>
      <c r="Q71" s="157" t="s">
        <v>156</v>
      </c>
      <c r="R71" s="158"/>
      <c r="S71" s="65"/>
      <c r="T71" s="65"/>
      <c r="U71" s="65"/>
      <c r="V71" s="65"/>
      <c r="W71" s="65"/>
      <c r="X71" s="65"/>
      <c r="Y71" s="65"/>
      <c r="Z71" s="65"/>
      <c r="AA71" s="65"/>
      <c r="AB71" s="65"/>
      <c r="AC71" s="65"/>
      <c r="AD71" s="65"/>
      <c r="AE71" s="65"/>
      <c r="AF71" s="65"/>
      <c r="AX71" s="36"/>
      <c r="AY71" s="20"/>
      <c r="AZ71" s="20"/>
      <c r="BA71" s="20"/>
      <c r="BB71" s="20"/>
      <c r="BC71" s="20"/>
      <c r="BD71" s="20"/>
      <c r="BE71" s="20"/>
      <c r="BF71" s="20"/>
      <c r="BG71" s="20"/>
    </row>
    <row r="72" spans="1:59" x14ac:dyDescent="0.2">
      <c r="A72" s="64"/>
      <c r="B72" s="61" t="s">
        <v>117</v>
      </c>
      <c r="C72" s="90"/>
      <c r="D72" s="90"/>
      <c r="E72" s="108"/>
      <c r="F72" s="90"/>
      <c r="G72" s="90"/>
      <c r="H72" s="90"/>
      <c r="I72" s="90"/>
      <c r="J72" s="90"/>
      <c r="K72" s="91"/>
      <c r="L72" s="91"/>
      <c r="M72" s="91"/>
      <c r="N72" s="109"/>
      <c r="O72" s="109"/>
      <c r="P72" s="91"/>
      <c r="Q72" s="109"/>
      <c r="R72" s="109"/>
      <c r="S72" s="65"/>
      <c r="T72" s="65"/>
      <c r="U72" s="65"/>
      <c r="V72" s="65"/>
      <c r="W72" s="65"/>
      <c r="X72" s="65"/>
      <c r="Y72" s="65"/>
      <c r="Z72" s="65"/>
      <c r="AA72" s="65"/>
      <c r="AB72" s="65"/>
      <c r="AC72" s="65"/>
      <c r="AD72" s="65"/>
      <c r="AE72" s="65"/>
      <c r="AF72" s="65"/>
      <c r="AO72" s="113" t="s">
        <v>116</v>
      </c>
      <c r="AP72" s="113" t="s">
        <v>118</v>
      </c>
      <c r="AQ72" s="113" t="s">
        <v>131</v>
      </c>
      <c r="AR72" s="113" t="s">
        <v>132</v>
      </c>
      <c r="AT72" s="113" t="s">
        <v>116</v>
      </c>
      <c r="AU72" s="113" t="s">
        <v>118</v>
      </c>
      <c r="AV72" s="113" t="s">
        <v>131</v>
      </c>
      <c r="AW72" s="113" t="s">
        <v>132</v>
      </c>
      <c r="AX72" s="36"/>
      <c r="AY72" s="20"/>
      <c r="AZ72" s="20"/>
      <c r="BA72" s="20"/>
      <c r="BB72" s="20"/>
      <c r="BC72" s="20"/>
      <c r="BD72" s="20"/>
      <c r="BE72" s="20"/>
      <c r="BF72" s="20"/>
      <c r="BG72" s="20"/>
    </row>
    <row r="73" spans="1:59" x14ac:dyDescent="0.2">
      <c r="A73" s="64"/>
      <c r="B73" s="92" t="s">
        <v>150</v>
      </c>
      <c r="C73" s="90"/>
      <c r="D73" s="90"/>
      <c r="E73" s="109" t="s">
        <v>19</v>
      </c>
      <c r="F73" s="90"/>
      <c r="G73" s="110">
        <f>IFERROR($AY$35,0)</f>
        <v>0.25953692322361116</v>
      </c>
      <c r="H73" s="110">
        <f>IFERROR($BN$35,0)</f>
        <v>0.26694447919156611</v>
      </c>
      <c r="I73" s="110">
        <f>IFERROR($CC$35,0)</f>
        <v>0.2606186075356986</v>
      </c>
      <c r="J73" s="110">
        <f>IFERROR($CR$35,0)</f>
        <v>0.22360067901917297</v>
      </c>
      <c r="K73" s="91"/>
      <c r="L73" s="91"/>
      <c r="M73" s="91"/>
      <c r="N73" s="159">
        <f>SUM(G73:J73)</f>
        <v>1.0107006889700487</v>
      </c>
      <c r="O73" s="158"/>
      <c r="P73" s="91"/>
      <c r="Q73" s="166" t="str">
        <f t="shared" ref="Q73:Q78" si="6">IFERROR(AJ73,0)</f>
        <v>12 months</v>
      </c>
      <c r="R73" s="167"/>
      <c r="S73" s="65"/>
      <c r="T73" s="65"/>
      <c r="U73" s="65"/>
      <c r="V73" s="65"/>
      <c r="W73" s="65"/>
      <c r="X73" s="65"/>
      <c r="Y73" s="65"/>
      <c r="Z73" s="65"/>
      <c r="AA73" s="65"/>
      <c r="AB73" s="65"/>
      <c r="AC73" s="65"/>
      <c r="AD73" s="65"/>
      <c r="AE73" s="65"/>
      <c r="AF73" s="65"/>
      <c r="AJ73" s="2" t="str">
        <f>CONCATENATE(AL73," ",AM73)</f>
        <v>12 months</v>
      </c>
      <c r="AL73" s="3">
        <f>IF($AV73=1,$AW73,IF($AU73=1,AV73,IF($AT73=1,$AU73,$AT73)))</f>
        <v>12</v>
      </c>
      <c r="AM73" s="113" t="str">
        <f t="shared" ref="AM73:AM77" si="7">IF($AV73=1,$AW$72,IF($AU73=1,$AV$72,IF($AT73=1,$AU$72,$AT$72)))</f>
        <v>months</v>
      </c>
      <c r="AO73" s="2">
        <f t="shared" ref="AO73:AO78" si="8">ROUND(1/$N73,0)</f>
        <v>1</v>
      </c>
      <c r="AP73" s="2">
        <f t="shared" ref="AP73:AP78" si="9">ROUND(1/($N73/12),0)</f>
        <v>12</v>
      </c>
      <c r="AQ73" s="2">
        <f t="shared" ref="AQ73:AQ78" si="10">ROUND(1/($N73/52),0)</f>
        <v>51</v>
      </c>
      <c r="AR73" s="2">
        <f t="shared" ref="AR73:AR78" si="11">ROUND(1/($N73/365),0)</f>
        <v>361</v>
      </c>
      <c r="AT73" s="3">
        <f>IF(AO73=0,1,AO73)</f>
        <v>1</v>
      </c>
      <c r="AU73" s="3">
        <f t="shared" ref="AU73:AW73" si="12">IF(AP73=0,1,AP73)</f>
        <v>12</v>
      </c>
      <c r="AV73" s="3">
        <f t="shared" si="12"/>
        <v>51</v>
      </c>
      <c r="AW73" s="3">
        <f t="shared" si="12"/>
        <v>361</v>
      </c>
      <c r="AX73" s="36"/>
      <c r="AY73" s="20"/>
      <c r="AZ73" s="20"/>
      <c r="BA73" s="20"/>
      <c r="BB73" s="20"/>
      <c r="BC73" s="20"/>
      <c r="BD73" s="20"/>
      <c r="BE73" s="20"/>
      <c r="BF73" s="20"/>
      <c r="BG73" s="20"/>
    </row>
    <row r="74" spans="1:59" x14ac:dyDescent="0.2">
      <c r="A74" s="64"/>
      <c r="B74" s="92" t="s">
        <v>151</v>
      </c>
      <c r="C74" s="62"/>
      <c r="D74" s="90"/>
      <c r="E74" s="109" t="s">
        <v>20</v>
      </c>
      <c r="F74" s="90"/>
      <c r="G74" s="110">
        <f>IFERROR($AZ$35,0)</f>
        <v>0.128015068265601</v>
      </c>
      <c r="H74" s="110">
        <f>IFERROR($BO$35,0)</f>
        <v>2.5370638671500603E-2</v>
      </c>
      <c r="I74" s="110">
        <f>IFERROR($CD$35,0)</f>
        <v>0.11092360277646598</v>
      </c>
      <c r="J74" s="110">
        <f>IFERROR($CS$35,0)</f>
        <v>2.587252172011632E-2</v>
      </c>
      <c r="K74" s="91"/>
      <c r="L74" s="91"/>
      <c r="M74" s="91"/>
      <c r="N74" s="159">
        <f t="shared" ref="N74:N78" si="13">SUM(G74:J74)</f>
        <v>0.29018183143368392</v>
      </c>
      <c r="O74" s="158"/>
      <c r="P74" s="91"/>
      <c r="Q74" s="166" t="str">
        <f t="shared" si="6"/>
        <v>3 years</v>
      </c>
      <c r="R74" s="167"/>
      <c r="S74" s="65"/>
      <c r="T74" s="65"/>
      <c r="U74" s="65"/>
      <c r="V74" s="65"/>
      <c r="W74" s="65"/>
      <c r="X74" s="65"/>
      <c r="Y74" s="65"/>
      <c r="Z74" s="65"/>
      <c r="AA74" s="65"/>
      <c r="AB74" s="65"/>
      <c r="AC74" s="65"/>
      <c r="AD74" s="65"/>
      <c r="AE74" s="65"/>
      <c r="AF74" s="65"/>
      <c r="AJ74" s="2" t="str">
        <f t="shared" ref="AJ74:AJ89" si="14">CONCATENATE(AL74," ",AM74)</f>
        <v>3 years</v>
      </c>
      <c r="AL74" s="3">
        <f t="shared" ref="AL74:AL77" si="15">IF($AV74=1,$AW74,IF($AU74=1,AV74,IF($AT74=1,$AU74,$AT74)))</f>
        <v>3</v>
      </c>
      <c r="AM74" s="113" t="str">
        <f t="shared" si="7"/>
        <v>years</v>
      </c>
      <c r="AO74" s="2">
        <f t="shared" si="8"/>
        <v>3</v>
      </c>
      <c r="AP74" s="2">
        <f t="shared" si="9"/>
        <v>41</v>
      </c>
      <c r="AQ74" s="2">
        <f t="shared" si="10"/>
        <v>179</v>
      </c>
      <c r="AR74" s="2">
        <f t="shared" si="11"/>
        <v>1258</v>
      </c>
      <c r="AT74" s="3">
        <f t="shared" ref="AT74:AT89" si="16">IF(AO74=0,1,AO74)</f>
        <v>3</v>
      </c>
      <c r="AU74" s="3">
        <f t="shared" ref="AU74:AU89" si="17">IF(AP74=0,1,AP74)</f>
        <v>41</v>
      </c>
      <c r="AV74" s="3">
        <f t="shared" ref="AV74:AV89" si="18">IF(AQ74=0,1,AQ74)</f>
        <v>179</v>
      </c>
      <c r="AW74" s="3">
        <f t="shared" ref="AW74:AW89" si="19">IF(AR74=0,1,AR74)</f>
        <v>1258</v>
      </c>
      <c r="AX74" s="36"/>
      <c r="AY74" s="20"/>
      <c r="AZ74" s="20"/>
      <c r="BA74" s="20"/>
      <c r="BB74" s="20"/>
      <c r="BC74" s="20"/>
      <c r="BD74" s="20"/>
      <c r="BE74" s="20"/>
      <c r="BF74" s="20"/>
      <c r="BG74" s="20"/>
    </row>
    <row r="75" spans="1:59" x14ac:dyDescent="0.2">
      <c r="A75" s="64"/>
      <c r="B75" s="92" t="s">
        <v>152</v>
      </c>
      <c r="C75" s="62"/>
      <c r="D75" s="90"/>
      <c r="E75" s="109" t="s">
        <v>11</v>
      </c>
      <c r="F75" s="90"/>
      <c r="G75" s="110">
        <f>IFERROR(HLOOKUP($D$24,$BA$3:$BC$35,33,FALSE),0)</f>
        <v>8.5032413808187352E-2</v>
      </c>
      <c r="H75" s="110">
        <f>IFERROR(HLOOKUP($D$24,$BP$3:$BR$35,33,FALSE),0)</f>
        <v>2.9563180664246794E-2</v>
      </c>
      <c r="I75" s="110">
        <f>IFERROR(HLOOKUP($D$24,$CE$3:$CG$35,33,FALSE),0)</f>
        <v>9.7826925677843832E-2</v>
      </c>
      <c r="J75" s="110">
        <f>IFERROR(HLOOKUP($D$24,$CT$3:$CV$35,33,FALSE),0)</f>
        <v>1.8560747629577198E-2</v>
      </c>
      <c r="K75" s="91"/>
      <c r="L75" s="91"/>
      <c r="M75" s="91"/>
      <c r="N75" s="159">
        <f t="shared" si="13"/>
        <v>0.23098326777985517</v>
      </c>
      <c r="O75" s="158"/>
      <c r="P75" s="91"/>
      <c r="Q75" s="166" t="str">
        <f t="shared" si="6"/>
        <v>4 years</v>
      </c>
      <c r="R75" s="167"/>
      <c r="S75" s="65"/>
      <c r="T75" s="65"/>
      <c r="U75" s="65"/>
      <c r="V75" s="65"/>
      <c r="W75" s="65"/>
      <c r="X75" s="65"/>
      <c r="Y75" s="65"/>
      <c r="Z75" s="65"/>
      <c r="AA75" s="65"/>
      <c r="AB75" s="65"/>
      <c r="AC75" s="65"/>
      <c r="AD75" s="65"/>
      <c r="AE75" s="65"/>
      <c r="AF75" s="65"/>
      <c r="AJ75" s="2" t="str">
        <f t="shared" si="14"/>
        <v>4 years</v>
      </c>
      <c r="AL75" s="3">
        <f t="shared" si="15"/>
        <v>4</v>
      </c>
      <c r="AM75" s="113" t="str">
        <f t="shared" si="7"/>
        <v>years</v>
      </c>
      <c r="AO75" s="2">
        <f t="shared" si="8"/>
        <v>4</v>
      </c>
      <c r="AP75" s="2">
        <f t="shared" si="9"/>
        <v>52</v>
      </c>
      <c r="AQ75" s="2">
        <f t="shared" si="10"/>
        <v>225</v>
      </c>
      <c r="AR75" s="2">
        <f t="shared" si="11"/>
        <v>1580</v>
      </c>
      <c r="AT75" s="3">
        <f t="shared" si="16"/>
        <v>4</v>
      </c>
      <c r="AU75" s="3">
        <f t="shared" si="17"/>
        <v>52</v>
      </c>
      <c r="AV75" s="3">
        <f t="shared" si="18"/>
        <v>225</v>
      </c>
      <c r="AW75" s="3">
        <f t="shared" si="19"/>
        <v>1580</v>
      </c>
      <c r="AX75" s="36"/>
      <c r="AY75" s="20"/>
      <c r="AZ75" s="20"/>
      <c r="BA75" s="20"/>
      <c r="BB75" s="20"/>
      <c r="BC75" s="20"/>
      <c r="BD75" s="20"/>
      <c r="BE75" s="20"/>
      <c r="BF75" s="20"/>
      <c r="BG75" s="20"/>
    </row>
    <row r="76" spans="1:59" x14ac:dyDescent="0.2">
      <c r="A76" s="64"/>
      <c r="B76" s="92" t="s">
        <v>153</v>
      </c>
      <c r="C76" s="62"/>
      <c r="D76" s="90"/>
      <c r="E76" s="109" t="s">
        <v>124</v>
      </c>
      <c r="F76" s="90"/>
      <c r="G76" s="110">
        <f>IFERROR($BD$35,0)</f>
        <v>0.12583826135501469</v>
      </c>
      <c r="H76" s="110">
        <f>IFERROR($BS$35,0)</f>
        <v>3.9081102361813808E-2</v>
      </c>
      <c r="I76" s="110">
        <f>IFERROR($CH$35,0)</f>
        <v>8.2979107425580553E-2</v>
      </c>
      <c r="J76" s="110">
        <f>IFERROR($CW$35,0)</f>
        <v>1.8233638502854171E-2</v>
      </c>
      <c r="K76" s="91"/>
      <c r="L76" s="91"/>
      <c r="M76" s="91"/>
      <c r="N76" s="159">
        <f t="shared" si="13"/>
        <v>0.26613210964526324</v>
      </c>
      <c r="O76" s="158"/>
      <c r="P76" s="91"/>
      <c r="Q76" s="166" t="str">
        <f t="shared" si="6"/>
        <v>4 years</v>
      </c>
      <c r="R76" s="167"/>
      <c r="S76" s="65"/>
      <c r="T76" s="65"/>
      <c r="U76" s="65"/>
      <c r="V76" s="65"/>
      <c r="W76" s="65"/>
      <c r="X76" s="65"/>
      <c r="Y76" s="65"/>
      <c r="Z76" s="65"/>
      <c r="AA76" s="65"/>
      <c r="AB76" s="65"/>
      <c r="AC76" s="65"/>
      <c r="AD76" s="65"/>
      <c r="AE76" s="65"/>
      <c r="AF76" s="65"/>
      <c r="AJ76" s="2" t="str">
        <f t="shared" si="14"/>
        <v>4 years</v>
      </c>
      <c r="AL76" s="3">
        <f t="shared" si="15"/>
        <v>4</v>
      </c>
      <c r="AM76" s="113" t="str">
        <f t="shared" si="7"/>
        <v>years</v>
      </c>
      <c r="AO76" s="2">
        <f t="shared" si="8"/>
        <v>4</v>
      </c>
      <c r="AP76" s="2">
        <f t="shared" si="9"/>
        <v>45</v>
      </c>
      <c r="AQ76" s="2">
        <f t="shared" si="10"/>
        <v>195</v>
      </c>
      <c r="AR76" s="2">
        <f t="shared" si="11"/>
        <v>1371</v>
      </c>
      <c r="AT76" s="3">
        <f t="shared" si="16"/>
        <v>4</v>
      </c>
      <c r="AU76" s="3">
        <f t="shared" si="17"/>
        <v>45</v>
      </c>
      <c r="AV76" s="3">
        <f t="shared" si="18"/>
        <v>195</v>
      </c>
      <c r="AW76" s="3">
        <f t="shared" si="19"/>
        <v>1371</v>
      </c>
      <c r="AX76" s="36"/>
      <c r="AY76" s="20"/>
      <c r="AZ76" s="20"/>
      <c r="BA76" s="20"/>
      <c r="BB76" s="20"/>
      <c r="BC76" s="20"/>
      <c r="BD76" s="20"/>
      <c r="BE76" s="20"/>
      <c r="BF76" s="20"/>
      <c r="BG76" s="20"/>
    </row>
    <row r="77" spans="1:59" x14ac:dyDescent="0.2">
      <c r="A77" s="64"/>
      <c r="B77" s="91" t="s">
        <v>25</v>
      </c>
      <c r="C77" s="90"/>
      <c r="D77" s="90"/>
      <c r="E77" s="109" t="s">
        <v>25</v>
      </c>
      <c r="F77" s="90"/>
      <c r="G77" s="110">
        <f>IFERROR($BE$35,0)</f>
        <v>2.1532314503524722E-2</v>
      </c>
      <c r="H77" s="110">
        <f>IFERROR($BT$35,0)</f>
        <v>1.6665711329383871E-2</v>
      </c>
      <c r="I77" s="110">
        <f>IFERROR($CI$35,0)</f>
        <v>1.7332205950951605E-2</v>
      </c>
      <c r="J77" s="110">
        <f>IFERROR($CX$35,0)</f>
        <v>1.3016251058924577E-2</v>
      </c>
      <c r="K77" s="91"/>
      <c r="L77" s="91"/>
      <c r="M77" s="91"/>
      <c r="N77" s="159">
        <f t="shared" si="13"/>
        <v>6.8546482842784778E-2</v>
      </c>
      <c r="O77" s="158"/>
      <c r="P77" s="91"/>
      <c r="Q77" s="166" t="str">
        <f t="shared" si="6"/>
        <v>15 years</v>
      </c>
      <c r="R77" s="167"/>
      <c r="S77" s="65"/>
      <c r="T77" s="65"/>
      <c r="U77" s="65"/>
      <c r="V77" s="65"/>
      <c r="W77" s="65"/>
      <c r="X77" s="65"/>
      <c r="Y77" s="65"/>
      <c r="Z77" s="65"/>
      <c r="AA77" s="65"/>
      <c r="AB77" s="65"/>
      <c r="AC77" s="65"/>
      <c r="AD77" s="65"/>
      <c r="AE77" s="65"/>
      <c r="AF77" s="65"/>
      <c r="AJ77" s="2" t="str">
        <f t="shared" si="14"/>
        <v>15 years</v>
      </c>
      <c r="AL77" s="3">
        <f t="shared" si="15"/>
        <v>15</v>
      </c>
      <c r="AM77" s="113" t="str">
        <f t="shared" si="7"/>
        <v>years</v>
      </c>
      <c r="AO77" s="2">
        <f t="shared" si="8"/>
        <v>15</v>
      </c>
      <c r="AP77" s="2">
        <f t="shared" si="9"/>
        <v>175</v>
      </c>
      <c r="AQ77" s="2">
        <f t="shared" si="10"/>
        <v>759</v>
      </c>
      <c r="AR77" s="2">
        <f t="shared" si="11"/>
        <v>5325</v>
      </c>
      <c r="AT77" s="3">
        <f t="shared" si="16"/>
        <v>15</v>
      </c>
      <c r="AU77" s="3">
        <f t="shared" si="17"/>
        <v>175</v>
      </c>
      <c r="AV77" s="3">
        <f t="shared" si="18"/>
        <v>759</v>
      </c>
      <c r="AW77" s="3">
        <f t="shared" si="19"/>
        <v>5325</v>
      </c>
      <c r="AX77" s="36"/>
      <c r="AY77" s="20"/>
      <c r="AZ77" s="20"/>
      <c r="BA77" s="20"/>
      <c r="BB77" s="20"/>
      <c r="BC77" s="20"/>
      <c r="BD77" s="20"/>
      <c r="BE77" s="20"/>
      <c r="BF77" s="20"/>
      <c r="BG77" s="20"/>
    </row>
    <row r="78" spans="1:59" x14ac:dyDescent="0.2">
      <c r="A78" s="64"/>
      <c r="B78" s="89" t="s">
        <v>90</v>
      </c>
      <c r="C78" s="89"/>
      <c r="D78" s="89"/>
      <c r="E78" s="111"/>
      <c r="F78" s="89"/>
      <c r="G78" s="112">
        <f>SUM(G73:G77)</f>
        <v>0.61995498115593894</v>
      </c>
      <c r="H78" s="112">
        <f t="shared" ref="H78:J78" si="20">SUM(H73:H77)</f>
        <v>0.37762511221851114</v>
      </c>
      <c r="I78" s="112">
        <f t="shared" si="20"/>
        <v>0.56968044936654061</v>
      </c>
      <c r="J78" s="112">
        <f t="shared" si="20"/>
        <v>0.29928383793064517</v>
      </c>
      <c r="K78" s="89"/>
      <c r="L78" s="89"/>
      <c r="M78" s="89"/>
      <c r="N78" s="160">
        <f t="shared" si="13"/>
        <v>1.8665443806716357</v>
      </c>
      <c r="O78" s="161"/>
      <c r="P78" s="89"/>
      <c r="Q78" s="168" t="str">
        <f t="shared" si="6"/>
        <v>6 months</v>
      </c>
      <c r="R78" s="169"/>
      <c r="S78" s="65"/>
      <c r="T78" s="65"/>
      <c r="U78" s="65"/>
      <c r="V78" s="65"/>
      <c r="W78" s="65"/>
      <c r="X78" s="65"/>
      <c r="Y78" s="65"/>
      <c r="Z78" s="65"/>
      <c r="AA78" s="65"/>
      <c r="AB78" s="65"/>
      <c r="AC78" s="65"/>
      <c r="AD78" s="65"/>
      <c r="AE78" s="65"/>
      <c r="AF78" s="65"/>
      <c r="AH78" s="4"/>
      <c r="AI78" s="4"/>
      <c r="AJ78" s="4" t="str">
        <f t="shared" si="14"/>
        <v>6 months</v>
      </c>
      <c r="AK78" s="4"/>
      <c r="AL78" s="4">
        <f>IF($AV78=1,$AW78,IF($AU78=1,AV78,IF($AT78=1,$AU78,$AT78)))</f>
        <v>6</v>
      </c>
      <c r="AM78" s="4" t="str">
        <f>IF($AV78=1,$AW$72,IF($AU78=1,$AV$72,IF($AT78=1,$AU$72,$AT$72)))</f>
        <v>months</v>
      </c>
      <c r="AO78" s="4">
        <f t="shared" si="8"/>
        <v>1</v>
      </c>
      <c r="AP78" s="4">
        <f t="shared" si="9"/>
        <v>6</v>
      </c>
      <c r="AQ78" s="4">
        <f t="shared" si="10"/>
        <v>28</v>
      </c>
      <c r="AR78" s="4">
        <f t="shared" si="11"/>
        <v>196</v>
      </c>
      <c r="AT78" s="4">
        <f t="shared" si="16"/>
        <v>1</v>
      </c>
      <c r="AU78" s="4">
        <f t="shared" si="17"/>
        <v>6</v>
      </c>
      <c r="AV78" s="4">
        <f t="shared" si="18"/>
        <v>28</v>
      </c>
      <c r="AW78" s="4">
        <f t="shared" si="19"/>
        <v>196</v>
      </c>
      <c r="AX78" s="36"/>
      <c r="AY78" s="20"/>
      <c r="AZ78" s="20"/>
      <c r="BA78" s="20"/>
      <c r="BB78" s="20"/>
      <c r="BC78" s="20"/>
      <c r="BD78" s="20"/>
      <c r="BE78" s="20"/>
      <c r="BF78" s="20"/>
      <c r="BG78" s="20"/>
    </row>
    <row r="79" spans="1:59" x14ac:dyDescent="0.2">
      <c r="A79" s="64"/>
      <c r="B79" s="90"/>
      <c r="C79" s="90"/>
      <c r="D79" s="90"/>
      <c r="E79" s="108"/>
      <c r="F79" s="90"/>
      <c r="G79" s="110"/>
      <c r="H79" s="110"/>
      <c r="I79" s="110"/>
      <c r="J79" s="110"/>
      <c r="K79" s="91"/>
      <c r="L79" s="91"/>
      <c r="M79" s="91"/>
      <c r="N79" s="159"/>
      <c r="O79" s="158"/>
      <c r="P79" s="91"/>
      <c r="Q79" s="166"/>
      <c r="R79" s="167"/>
      <c r="S79" s="65"/>
      <c r="T79" s="65"/>
      <c r="U79" s="65"/>
      <c r="V79" s="65"/>
      <c r="W79" s="65"/>
      <c r="X79" s="65"/>
      <c r="Y79" s="65"/>
      <c r="Z79" s="65"/>
      <c r="AA79" s="65"/>
      <c r="AB79" s="65"/>
      <c r="AC79" s="65"/>
      <c r="AD79" s="65"/>
      <c r="AE79" s="65"/>
      <c r="AF79" s="65"/>
      <c r="AO79" s="2"/>
      <c r="AP79" s="2"/>
      <c r="AQ79" s="2"/>
      <c r="AR79" s="2"/>
      <c r="AX79" s="36"/>
      <c r="AY79" s="20"/>
      <c r="AZ79" s="20"/>
      <c r="BA79" s="20"/>
      <c r="BB79" s="20"/>
      <c r="BC79" s="20"/>
      <c r="BD79" s="20"/>
      <c r="BE79" s="20"/>
      <c r="BF79" s="20"/>
      <c r="BG79" s="20"/>
    </row>
    <row r="80" spans="1:59" x14ac:dyDescent="0.2">
      <c r="A80" s="64"/>
      <c r="B80" s="89" t="s">
        <v>125</v>
      </c>
      <c r="C80" s="90"/>
      <c r="D80" s="90"/>
      <c r="E80" s="108"/>
      <c r="F80" s="90"/>
      <c r="G80" s="110"/>
      <c r="H80" s="110"/>
      <c r="I80" s="110"/>
      <c r="J80" s="110"/>
      <c r="K80" s="91"/>
      <c r="L80" s="91"/>
      <c r="M80" s="91"/>
      <c r="N80" s="159"/>
      <c r="O80" s="158"/>
      <c r="P80" s="91"/>
      <c r="Q80" s="166"/>
      <c r="R80" s="167"/>
      <c r="S80" s="65"/>
      <c r="T80" s="65"/>
      <c r="U80" s="65"/>
      <c r="V80" s="65"/>
      <c r="W80" s="65"/>
      <c r="X80" s="65"/>
      <c r="Y80" s="65"/>
      <c r="Z80" s="65"/>
      <c r="AA80" s="65"/>
      <c r="AB80" s="65"/>
      <c r="AC80" s="65"/>
      <c r="AD80" s="65"/>
      <c r="AE80" s="65"/>
      <c r="AF80" s="65"/>
      <c r="AO80" s="2"/>
      <c r="AP80" s="2"/>
      <c r="AQ80" s="2"/>
      <c r="AR80" s="2"/>
      <c r="AX80" s="36"/>
      <c r="AY80" s="20"/>
      <c r="AZ80" s="20"/>
      <c r="BA80" s="20"/>
      <c r="BB80" s="20"/>
      <c r="BC80" s="20"/>
      <c r="BD80" s="20"/>
      <c r="BE80" s="20"/>
      <c r="BF80" s="20"/>
      <c r="BG80" s="20"/>
    </row>
    <row r="81" spans="1:59" x14ac:dyDescent="0.2">
      <c r="A81" s="64"/>
      <c r="B81" s="92" t="s">
        <v>157</v>
      </c>
      <c r="C81" s="90"/>
      <c r="D81" s="90"/>
      <c r="E81" s="109" t="s">
        <v>126</v>
      </c>
      <c r="F81" s="90"/>
      <c r="G81" s="110">
        <f>$BH$35</f>
        <v>1.8413388500762157E-2</v>
      </c>
      <c r="H81" s="110">
        <f>$BW$35</f>
        <v>1.4253651563593681E-2</v>
      </c>
      <c r="I81" s="110">
        <f>$CL$35</f>
        <v>2.0307760709881419E-2</v>
      </c>
      <c r="J81" s="110">
        <f>$DA$35</f>
        <v>1.1297368382518167E-2</v>
      </c>
      <c r="K81" s="91"/>
      <c r="L81" s="91"/>
      <c r="M81" s="91"/>
      <c r="N81" s="159">
        <f t="shared" ref="N81:N83" si="21">SUM(G81:J81)</f>
        <v>6.4272169156755418E-2</v>
      </c>
      <c r="O81" s="158"/>
      <c r="P81" s="91"/>
      <c r="Q81" s="166" t="str">
        <f>IFERROR(AJ81,0)</f>
        <v>16 years</v>
      </c>
      <c r="R81" s="167"/>
      <c r="S81" s="65"/>
      <c r="T81" s="65"/>
      <c r="U81" s="65"/>
      <c r="V81" s="65"/>
      <c r="W81" s="65"/>
      <c r="X81" s="65"/>
      <c r="Y81" s="65"/>
      <c r="Z81" s="65"/>
      <c r="AA81" s="65"/>
      <c r="AB81" s="65"/>
      <c r="AC81" s="65"/>
      <c r="AD81" s="65"/>
      <c r="AE81" s="65"/>
      <c r="AF81" s="65"/>
      <c r="AJ81" s="2" t="str">
        <f t="shared" si="14"/>
        <v>16 years</v>
      </c>
      <c r="AL81" s="3">
        <f>IF($AV81=1,$AW81,IF($AU81=1,AV81,IF($AT81=1,$AU81,$AT81)))</f>
        <v>16</v>
      </c>
      <c r="AM81" s="113" t="str">
        <f t="shared" ref="AM81:AM89" si="22">IF($AV81=1,$AW$72,IF($AU81=1,$AV$72,IF($AT81=1,$AU$72,$AT$72)))</f>
        <v>years</v>
      </c>
      <c r="AO81" s="2">
        <f>ROUND(1/$N81,0)</f>
        <v>16</v>
      </c>
      <c r="AP81" s="2">
        <f>ROUND(1/($N81/12),0)</f>
        <v>187</v>
      </c>
      <c r="AQ81" s="2">
        <f>ROUND(1/($N81/52),0)</f>
        <v>809</v>
      </c>
      <c r="AR81" s="2">
        <f>ROUND(1/($N81/365),0)</f>
        <v>5679</v>
      </c>
      <c r="AT81" s="3">
        <f t="shared" si="16"/>
        <v>16</v>
      </c>
      <c r="AU81" s="3">
        <f t="shared" si="17"/>
        <v>187</v>
      </c>
      <c r="AV81" s="3">
        <f t="shared" si="18"/>
        <v>809</v>
      </c>
      <c r="AW81" s="3">
        <f t="shared" si="19"/>
        <v>5679</v>
      </c>
      <c r="AX81" s="36"/>
      <c r="AY81" s="20"/>
      <c r="AZ81" s="20"/>
      <c r="BA81" s="20"/>
      <c r="BB81" s="20"/>
      <c r="BC81" s="20"/>
      <c r="BD81" s="20"/>
      <c r="BE81" s="20"/>
      <c r="BF81" s="20"/>
      <c r="BG81" s="20"/>
    </row>
    <row r="82" spans="1:59" x14ac:dyDescent="0.2">
      <c r="A82" s="64"/>
      <c r="B82" s="92" t="s">
        <v>151</v>
      </c>
      <c r="C82" s="90"/>
      <c r="D82" s="90"/>
      <c r="E82" s="109" t="s">
        <v>20</v>
      </c>
      <c r="F82" s="90"/>
      <c r="G82" s="110">
        <f>$BI$35</f>
        <v>2.7606571437966618E-3</v>
      </c>
      <c r="H82" s="110">
        <f>$BX$35</f>
        <v>2.0167617503351115E-3</v>
      </c>
      <c r="I82" s="110">
        <f>$CM$35</f>
        <v>3.3317545237987294E-3</v>
      </c>
      <c r="J82" s="110">
        <f>$DB$35</f>
        <v>1.5883499699768894E-3</v>
      </c>
      <c r="K82" s="91"/>
      <c r="L82" s="91"/>
      <c r="M82" s="91"/>
      <c r="N82" s="159">
        <f t="shared" si="21"/>
        <v>9.6975233879073933E-3</v>
      </c>
      <c r="O82" s="158"/>
      <c r="P82" s="91"/>
      <c r="Q82" s="166" t="str">
        <f>IFERROR(AJ82,0)</f>
        <v>103 years</v>
      </c>
      <c r="R82" s="167"/>
      <c r="S82" s="65"/>
      <c r="T82" s="65"/>
      <c r="U82" s="65"/>
      <c r="V82" s="65"/>
      <c r="W82" s="65"/>
      <c r="X82" s="65"/>
      <c r="Y82" s="65"/>
      <c r="Z82" s="65"/>
      <c r="AA82" s="65"/>
      <c r="AB82" s="65"/>
      <c r="AC82" s="65"/>
      <c r="AD82" s="65"/>
      <c r="AE82" s="65"/>
      <c r="AF82" s="65"/>
      <c r="AJ82" s="2" t="str">
        <f t="shared" si="14"/>
        <v>103 years</v>
      </c>
      <c r="AL82" s="3">
        <f t="shared" ref="AL82:AL89" si="23">IF($AV82=1,$AW82,IF($AU82=1,AV82,IF($AT82=1,$AU82,$AT82)))</f>
        <v>103</v>
      </c>
      <c r="AM82" s="113" t="str">
        <f t="shared" si="22"/>
        <v>years</v>
      </c>
      <c r="AO82" s="2">
        <f>ROUND(1/$N82,0)</f>
        <v>103</v>
      </c>
      <c r="AP82" s="2">
        <f>ROUND(1/($N82/12),0)</f>
        <v>1237</v>
      </c>
      <c r="AQ82" s="2">
        <f>ROUND(1/($N82/52),0)</f>
        <v>5362</v>
      </c>
      <c r="AR82" s="2">
        <f>ROUND(1/($N82/365),0)</f>
        <v>37638</v>
      </c>
      <c r="AT82" s="3">
        <f t="shared" si="16"/>
        <v>103</v>
      </c>
      <c r="AU82" s="3">
        <f t="shared" si="17"/>
        <v>1237</v>
      </c>
      <c r="AV82" s="3">
        <f t="shared" si="18"/>
        <v>5362</v>
      </c>
      <c r="AW82" s="3">
        <f t="shared" si="19"/>
        <v>37638</v>
      </c>
      <c r="AX82" s="36"/>
      <c r="AY82" s="20"/>
      <c r="AZ82" s="20"/>
      <c r="BA82" s="20"/>
      <c r="BB82" s="20"/>
      <c r="BC82" s="20"/>
      <c r="BD82" s="20"/>
      <c r="BE82" s="20"/>
      <c r="BF82" s="20"/>
      <c r="BG82" s="20"/>
    </row>
    <row r="83" spans="1:59" x14ac:dyDescent="0.2">
      <c r="A83" s="64"/>
      <c r="B83" s="91" t="s">
        <v>25</v>
      </c>
      <c r="C83" s="90"/>
      <c r="D83" s="90"/>
      <c r="E83" s="109" t="s">
        <v>25</v>
      </c>
      <c r="F83" s="90"/>
      <c r="G83" s="110">
        <f>$BJ$35</f>
        <v>1.5668793776973524E-2</v>
      </c>
      <c r="H83" s="110">
        <f>$BY$35</f>
        <v>1.2040105852307307E-2</v>
      </c>
      <c r="I83" s="110">
        <f>$CN$35</f>
        <v>1.7493241272923309E-2</v>
      </c>
      <c r="J83" s="110">
        <f>$DC$35</f>
        <v>9.535431580846342E-3</v>
      </c>
      <c r="K83" s="91"/>
      <c r="L83" s="91"/>
      <c r="M83" s="91"/>
      <c r="N83" s="159">
        <f t="shared" si="21"/>
        <v>5.473757248305048E-2</v>
      </c>
      <c r="O83" s="158"/>
      <c r="P83" s="91"/>
      <c r="Q83" s="166" t="str">
        <f>IFERROR(AJ83,0)</f>
        <v>18 years</v>
      </c>
      <c r="R83" s="167"/>
      <c r="S83" s="65"/>
      <c r="T83" s="65"/>
      <c r="U83" s="65"/>
      <c r="V83" s="65"/>
      <c r="W83" s="65"/>
      <c r="X83" s="65"/>
      <c r="Y83" s="65"/>
      <c r="Z83" s="65"/>
      <c r="AA83" s="65"/>
      <c r="AB83" s="65"/>
      <c r="AC83" s="65"/>
      <c r="AD83" s="65"/>
      <c r="AE83" s="65"/>
      <c r="AF83" s="65"/>
      <c r="AJ83" s="2" t="str">
        <f t="shared" si="14"/>
        <v>18 years</v>
      </c>
      <c r="AL83" s="3">
        <f t="shared" si="23"/>
        <v>18</v>
      </c>
      <c r="AM83" s="113" t="str">
        <f t="shared" si="22"/>
        <v>years</v>
      </c>
      <c r="AO83" s="2">
        <f>ROUND(1/$N83,0)</f>
        <v>18</v>
      </c>
      <c r="AP83" s="2">
        <f>ROUND(1/($N83/12),0)</f>
        <v>219</v>
      </c>
      <c r="AQ83" s="2">
        <f>ROUND(1/($N83/52),0)</f>
        <v>950</v>
      </c>
      <c r="AR83" s="2">
        <f>ROUND(1/($N83/365),0)</f>
        <v>6668</v>
      </c>
      <c r="AT83" s="3">
        <f t="shared" si="16"/>
        <v>18</v>
      </c>
      <c r="AU83" s="3">
        <f t="shared" si="17"/>
        <v>219</v>
      </c>
      <c r="AV83" s="3">
        <f t="shared" si="18"/>
        <v>950</v>
      </c>
      <c r="AW83" s="3">
        <f t="shared" si="19"/>
        <v>6668</v>
      </c>
      <c r="AX83" s="36"/>
      <c r="AY83" s="20"/>
      <c r="AZ83" s="20"/>
      <c r="BA83" s="20"/>
      <c r="BB83" s="20"/>
      <c r="BC83" s="20"/>
      <c r="BD83" s="20"/>
      <c r="BE83" s="20"/>
      <c r="BF83" s="20"/>
      <c r="BG83" s="20"/>
    </row>
    <row r="84" spans="1:59" x14ac:dyDescent="0.2">
      <c r="A84" s="64"/>
      <c r="B84" s="89" t="s">
        <v>90</v>
      </c>
      <c r="C84" s="89"/>
      <c r="D84" s="89"/>
      <c r="E84" s="111"/>
      <c r="F84" s="89"/>
      <c r="G84" s="112">
        <f>SUM(G81:G83)</f>
        <v>3.6842839421532339E-2</v>
      </c>
      <c r="H84" s="112">
        <f t="shared" ref="H84:I84" si="24">SUM(H81:H83)</f>
        <v>2.8310519166236101E-2</v>
      </c>
      <c r="I84" s="112">
        <f t="shared" si="24"/>
        <v>4.113275650660346E-2</v>
      </c>
      <c r="J84" s="112">
        <f>SUM(J81:J83)</f>
        <v>2.2421149933341399E-2</v>
      </c>
      <c r="K84" s="89"/>
      <c r="L84" s="89"/>
      <c r="M84" s="89"/>
      <c r="N84" s="160">
        <f>SUM(G84:J84)</f>
        <v>0.12870726502771329</v>
      </c>
      <c r="O84" s="161"/>
      <c r="P84" s="89"/>
      <c r="Q84" s="168" t="str">
        <f>IFERROR(AJ84,0)</f>
        <v>8 years</v>
      </c>
      <c r="R84" s="169"/>
      <c r="S84" s="65"/>
      <c r="T84" s="65"/>
      <c r="U84" s="65"/>
      <c r="V84" s="65"/>
      <c r="W84" s="65"/>
      <c r="X84" s="65"/>
      <c r="Y84" s="65"/>
      <c r="Z84" s="65"/>
      <c r="AA84" s="65"/>
      <c r="AB84" s="65"/>
      <c r="AC84" s="65"/>
      <c r="AD84" s="65"/>
      <c r="AE84" s="65"/>
      <c r="AF84" s="65"/>
      <c r="AH84" s="4"/>
      <c r="AI84" s="4"/>
      <c r="AJ84" s="4" t="str">
        <f t="shared" si="14"/>
        <v>8 years</v>
      </c>
      <c r="AK84" s="4"/>
      <c r="AL84" s="4">
        <f t="shared" si="23"/>
        <v>8</v>
      </c>
      <c r="AM84" s="4" t="str">
        <f t="shared" si="22"/>
        <v>years</v>
      </c>
      <c r="AO84" s="4">
        <f>ROUND(1/$N84,0)</f>
        <v>8</v>
      </c>
      <c r="AP84" s="4">
        <f>ROUND(1/($N84/12),0)</f>
        <v>93</v>
      </c>
      <c r="AQ84" s="4">
        <f>ROUND(1/($N84/52),0)</f>
        <v>404</v>
      </c>
      <c r="AR84" s="4">
        <f>ROUND(1/($N84/365),0)</f>
        <v>2836</v>
      </c>
      <c r="AT84" s="4">
        <f t="shared" si="16"/>
        <v>8</v>
      </c>
      <c r="AU84" s="4">
        <f t="shared" si="17"/>
        <v>93</v>
      </c>
      <c r="AV84" s="4">
        <f t="shared" si="18"/>
        <v>404</v>
      </c>
      <c r="AW84" s="4">
        <f t="shared" si="19"/>
        <v>2836</v>
      </c>
      <c r="AX84" s="36"/>
      <c r="AY84" s="20"/>
      <c r="AZ84" s="20"/>
      <c r="BA84" s="20"/>
      <c r="BB84" s="20"/>
      <c r="BC84" s="20"/>
      <c r="BD84" s="20"/>
      <c r="BE84" s="20"/>
      <c r="BF84" s="20"/>
      <c r="BG84" s="20"/>
    </row>
    <row r="85" spans="1:59" x14ac:dyDescent="0.2">
      <c r="A85" s="64"/>
      <c r="B85" s="90"/>
      <c r="C85" s="90"/>
      <c r="D85" s="90"/>
      <c r="E85" s="108"/>
      <c r="F85" s="90"/>
      <c r="G85" s="110"/>
      <c r="H85" s="110"/>
      <c r="I85" s="110"/>
      <c r="J85" s="110"/>
      <c r="K85" s="91"/>
      <c r="L85" s="91"/>
      <c r="M85" s="91"/>
      <c r="N85" s="159"/>
      <c r="O85" s="158"/>
      <c r="P85" s="91"/>
      <c r="Q85" s="166"/>
      <c r="R85" s="167"/>
      <c r="S85" s="65"/>
      <c r="T85" s="65"/>
      <c r="U85" s="65"/>
      <c r="V85" s="65"/>
      <c r="W85" s="65"/>
      <c r="X85" s="65"/>
      <c r="Y85" s="65"/>
      <c r="Z85" s="65"/>
      <c r="AA85" s="65"/>
      <c r="AB85" s="65"/>
      <c r="AC85" s="65"/>
      <c r="AD85" s="65"/>
      <c r="AE85" s="65"/>
      <c r="AF85" s="65"/>
      <c r="AM85" s="113"/>
      <c r="AO85" s="2"/>
      <c r="AP85" s="2"/>
      <c r="AQ85" s="2"/>
      <c r="AR85" s="2"/>
      <c r="AX85" s="36"/>
      <c r="AY85" s="20"/>
      <c r="AZ85" s="20"/>
      <c r="BA85" s="20"/>
      <c r="BB85" s="20"/>
      <c r="BC85" s="20"/>
      <c r="BD85" s="20"/>
      <c r="BE85" s="20"/>
      <c r="BF85" s="20"/>
      <c r="BG85" s="20"/>
    </row>
    <row r="86" spans="1:59" x14ac:dyDescent="0.2">
      <c r="A86" s="64"/>
      <c r="B86" s="89" t="s">
        <v>127</v>
      </c>
      <c r="C86" s="90"/>
      <c r="D86" s="90"/>
      <c r="E86" s="108"/>
      <c r="F86" s="90"/>
      <c r="G86" s="110"/>
      <c r="H86" s="110"/>
      <c r="I86" s="110"/>
      <c r="J86" s="110"/>
      <c r="K86" s="91"/>
      <c r="L86" s="91"/>
      <c r="M86" s="91"/>
      <c r="N86" s="159"/>
      <c r="O86" s="158"/>
      <c r="P86" s="91"/>
      <c r="Q86" s="166"/>
      <c r="R86" s="167"/>
      <c r="S86" s="65"/>
      <c r="T86" s="65"/>
      <c r="U86" s="65"/>
      <c r="V86" s="65"/>
      <c r="W86" s="65"/>
      <c r="X86" s="65"/>
      <c r="Y86" s="65"/>
      <c r="Z86" s="65"/>
      <c r="AA86" s="65"/>
      <c r="AB86" s="65"/>
      <c r="AC86" s="65"/>
      <c r="AD86" s="65"/>
      <c r="AE86" s="65"/>
      <c r="AF86" s="65"/>
      <c r="AM86" s="113"/>
      <c r="AO86" s="2"/>
      <c r="AP86" s="2"/>
      <c r="AQ86" s="2"/>
      <c r="AR86" s="2"/>
      <c r="AX86" s="36"/>
      <c r="AY86" s="20"/>
      <c r="AZ86" s="20"/>
      <c r="BA86" s="20"/>
      <c r="BB86" s="20"/>
      <c r="BC86" s="20"/>
      <c r="BD86" s="20"/>
      <c r="BE86" s="20"/>
      <c r="BF86" s="20"/>
      <c r="BG86" s="20"/>
    </row>
    <row r="87" spans="1:59" x14ac:dyDescent="0.2">
      <c r="A87" s="64"/>
      <c r="B87" s="91" t="s">
        <v>128</v>
      </c>
      <c r="C87" s="90"/>
      <c r="D87" s="90"/>
      <c r="E87" s="109" t="s">
        <v>129</v>
      </c>
      <c r="F87" s="90"/>
      <c r="G87" s="110">
        <f>IFERROR($BF$35,0)</f>
        <v>1.6598194154356261E-2</v>
      </c>
      <c r="H87" s="110">
        <f>IFERROR($BU$35,0)</f>
        <v>1.3524777293361354E-2</v>
      </c>
      <c r="I87" s="110">
        <f>IFERROR($CJ$35,0)</f>
        <v>2.1960311772883524E-2</v>
      </c>
      <c r="J87" s="110">
        <f>IFERROR($CY$35,0)</f>
        <v>1.0072853725595998E-2</v>
      </c>
      <c r="K87" s="91"/>
      <c r="L87" s="91"/>
      <c r="M87" s="91"/>
      <c r="N87" s="159">
        <f t="shared" ref="N87:N89" si="25">SUM(G87:J87)</f>
        <v>6.2156136946197142E-2</v>
      </c>
      <c r="O87" s="158"/>
      <c r="P87" s="91"/>
      <c r="Q87" s="166" t="str">
        <f>IFERROR(AJ87,0)</f>
        <v>16 years</v>
      </c>
      <c r="R87" s="167"/>
      <c r="S87" s="65"/>
      <c r="T87" s="65"/>
      <c r="U87" s="65"/>
      <c r="V87" s="65"/>
      <c r="W87" s="65"/>
      <c r="X87" s="65"/>
      <c r="Y87" s="65"/>
      <c r="Z87" s="65"/>
      <c r="AA87" s="65"/>
      <c r="AB87" s="65"/>
      <c r="AC87" s="65"/>
      <c r="AD87" s="65"/>
      <c r="AE87" s="65"/>
      <c r="AF87" s="65"/>
      <c r="AJ87" s="2" t="str">
        <f t="shared" si="14"/>
        <v>16 years</v>
      </c>
      <c r="AL87" s="3">
        <f t="shared" si="23"/>
        <v>16</v>
      </c>
      <c r="AM87" s="113" t="str">
        <f t="shared" si="22"/>
        <v>years</v>
      </c>
      <c r="AO87" s="2">
        <f>ROUND(1/$N87,0)</f>
        <v>16</v>
      </c>
      <c r="AP87" s="2">
        <f>ROUND(1/($N87/12),0)</f>
        <v>193</v>
      </c>
      <c r="AQ87" s="2">
        <f>ROUND(1/($N87/52),0)</f>
        <v>837</v>
      </c>
      <c r="AR87" s="2">
        <f>ROUND(1/($N87/365),0)</f>
        <v>5872</v>
      </c>
      <c r="AT87" s="3">
        <f t="shared" si="16"/>
        <v>16</v>
      </c>
      <c r="AU87" s="3">
        <f t="shared" si="17"/>
        <v>193</v>
      </c>
      <c r="AV87" s="3">
        <f t="shared" si="18"/>
        <v>837</v>
      </c>
      <c r="AW87" s="3">
        <f t="shared" si="19"/>
        <v>5872</v>
      </c>
      <c r="AX87" s="36"/>
      <c r="AY87" s="20"/>
      <c r="AZ87" s="20"/>
      <c r="BA87" s="20"/>
      <c r="BB87" s="20"/>
      <c r="BC87" s="20"/>
      <c r="BD87" s="20"/>
      <c r="BE87" s="20"/>
      <c r="BF87" s="20"/>
      <c r="BG87" s="20"/>
    </row>
    <row r="88" spans="1:59" x14ac:dyDescent="0.2">
      <c r="A88" s="64"/>
      <c r="B88" s="92" t="s">
        <v>158</v>
      </c>
      <c r="C88" s="90"/>
      <c r="D88" s="90"/>
      <c r="E88" s="109" t="s">
        <v>130</v>
      </c>
      <c r="F88" s="90"/>
      <c r="G88" s="110">
        <f>IFERROR($BG$35,0)</f>
        <v>4.0705735371179318E-3</v>
      </c>
      <c r="H88" s="110">
        <f>IFERROR($BV$35,0)</f>
        <v>4.1715359331844703E-3</v>
      </c>
      <c r="I88" s="110">
        <f>IFERROR($CK$35,0)</f>
        <v>5.0137016834155565E-3</v>
      </c>
      <c r="J88" s="110">
        <f>IFERROR($CZ$35,0)</f>
        <v>3.5996143258178528E-3</v>
      </c>
      <c r="K88" s="91"/>
      <c r="L88" s="91"/>
      <c r="M88" s="91"/>
      <c r="N88" s="159">
        <f t="shared" si="25"/>
        <v>1.6855425479535811E-2</v>
      </c>
      <c r="O88" s="158"/>
      <c r="P88" s="91"/>
      <c r="Q88" s="166" t="str">
        <f>IFERROR(AJ88,0)</f>
        <v>59 years</v>
      </c>
      <c r="R88" s="167"/>
      <c r="S88" s="65"/>
      <c r="T88" s="65"/>
      <c r="U88" s="65"/>
      <c r="V88" s="65"/>
      <c r="W88" s="65"/>
      <c r="X88" s="65"/>
      <c r="Y88" s="65"/>
      <c r="Z88" s="65"/>
      <c r="AA88" s="65"/>
      <c r="AB88" s="65"/>
      <c r="AC88" s="65"/>
      <c r="AD88" s="65"/>
      <c r="AE88" s="65"/>
      <c r="AF88" s="65"/>
      <c r="AJ88" s="2" t="str">
        <f t="shared" si="14"/>
        <v>59 years</v>
      </c>
      <c r="AL88" s="3">
        <f t="shared" si="23"/>
        <v>59</v>
      </c>
      <c r="AM88" s="113" t="str">
        <f t="shared" si="22"/>
        <v>years</v>
      </c>
      <c r="AO88" s="2">
        <f>ROUND(1/$N88,0)</f>
        <v>59</v>
      </c>
      <c r="AP88" s="2">
        <f>ROUND(1/($N88/12),0)</f>
        <v>712</v>
      </c>
      <c r="AQ88" s="2">
        <f>ROUND(1/($N88/52),0)</f>
        <v>3085</v>
      </c>
      <c r="AR88" s="2">
        <f>ROUND(1/($N88/365),0)</f>
        <v>21655</v>
      </c>
      <c r="AT88" s="3">
        <f t="shared" si="16"/>
        <v>59</v>
      </c>
      <c r="AU88" s="3">
        <f t="shared" si="17"/>
        <v>712</v>
      </c>
      <c r="AV88" s="3">
        <f t="shared" si="18"/>
        <v>3085</v>
      </c>
      <c r="AW88" s="3">
        <f t="shared" si="19"/>
        <v>21655</v>
      </c>
      <c r="AX88" s="36"/>
      <c r="AY88" s="20"/>
      <c r="AZ88" s="20"/>
      <c r="BA88" s="20"/>
      <c r="BB88" s="20"/>
      <c r="BC88" s="20"/>
      <c r="BD88" s="20"/>
      <c r="BE88" s="20"/>
      <c r="BF88" s="20"/>
      <c r="BG88" s="20"/>
    </row>
    <row r="89" spans="1:59" x14ac:dyDescent="0.2">
      <c r="A89" s="64"/>
      <c r="B89" s="89" t="s">
        <v>90</v>
      </c>
      <c r="C89" s="89"/>
      <c r="D89" s="89"/>
      <c r="E89" s="111"/>
      <c r="F89" s="89"/>
      <c r="G89" s="112">
        <f>SUM(G87:G88)</f>
        <v>2.0668767691474191E-2</v>
      </c>
      <c r="H89" s="112">
        <f t="shared" ref="H89:J89" si="26">SUM(H87:H88)</f>
        <v>1.7696313226545825E-2</v>
      </c>
      <c r="I89" s="112">
        <f t="shared" si="26"/>
        <v>2.697401345629908E-2</v>
      </c>
      <c r="J89" s="112">
        <f t="shared" si="26"/>
        <v>1.3672468051413851E-2</v>
      </c>
      <c r="K89" s="89"/>
      <c r="L89" s="89"/>
      <c r="M89" s="89"/>
      <c r="N89" s="160">
        <f t="shared" si="25"/>
        <v>7.9011562425732942E-2</v>
      </c>
      <c r="O89" s="161"/>
      <c r="P89" s="89"/>
      <c r="Q89" s="168" t="str">
        <f>IFERROR(AJ89,0)</f>
        <v>13 years</v>
      </c>
      <c r="R89" s="169"/>
      <c r="S89" s="65"/>
      <c r="T89" s="65"/>
      <c r="U89" s="65"/>
      <c r="V89" s="65"/>
      <c r="W89" s="65"/>
      <c r="X89" s="65"/>
      <c r="Y89" s="65"/>
      <c r="Z89" s="65"/>
      <c r="AA89" s="65"/>
      <c r="AB89" s="65"/>
      <c r="AC89" s="65"/>
      <c r="AD89" s="65"/>
      <c r="AE89" s="65"/>
      <c r="AF89" s="65"/>
      <c r="AH89" s="4"/>
      <c r="AI89" s="4"/>
      <c r="AJ89" s="4" t="str">
        <f t="shared" si="14"/>
        <v>13 years</v>
      </c>
      <c r="AK89" s="4"/>
      <c r="AL89" s="4">
        <f t="shared" si="23"/>
        <v>13</v>
      </c>
      <c r="AM89" s="4" t="str">
        <f t="shared" si="22"/>
        <v>years</v>
      </c>
      <c r="AO89" s="4">
        <f>ROUND(1/$N89,0)</f>
        <v>13</v>
      </c>
      <c r="AP89" s="4">
        <f>ROUND(1/($N89/12),0)</f>
        <v>152</v>
      </c>
      <c r="AQ89" s="4">
        <f>ROUND(1/($N89/52),0)</f>
        <v>658</v>
      </c>
      <c r="AR89" s="4">
        <f>ROUND(1/($N89/365),0)</f>
        <v>4620</v>
      </c>
      <c r="AT89" s="4">
        <f t="shared" si="16"/>
        <v>13</v>
      </c>
      <c r="AU89" s="4">
        <f t="shared" si="17"/>
        <v>152</v>
      </c>
      <c r="AV89" s="4">
        <f t="shared" si="18"/>
        <v>658</v>
      </c>
      <c r="AW89" s="4">
        <f t="shared" si="19"/>
        <v>4620</v>
      </c>
      <c r="AX89" s="36"/>
      <c r="AY89" s="20"/>
      <c r="AZ89" s="20"/>
      <c r="BA89" s="20"/>
      <c r="BB89" s="20"/>
      <c r="BC89" s="20"/>
      <c r="BD89" s="20"/>
      <c r="BE89" s="20"/>
      <c r="BF89" s="20"/>
      <c r="BG89" s="20"/>
    </row>
    <row r="90" spans="1:59" x14ac:dyDescent="0.2">
      <c r="A90" s="64"/>
      <c r="B90" s="64"/>
      <c r="C90" s="64"/>
      <c r="D90" s="64"/>
      <c r="E90" s="64"/>
      <c r="F90" s="64"/>
      <c r="G90" s="64"/>
      <c r="H90" s="64"/>
      <c r="I90" s="64"/>
      <c r="J90" s="64"/>
      <c r="K90" s="65"/>
      <c r="L90" s="65"/>
      <c r="M90" s="65"/>
      <c r="N90" s="65"/>
      <c r="O90" s="65"/>
      <c r="P90" s="65"/>
      <c r="Q90" s="65"/>
      <c r="R90" s="65"/>
      <c r="S90" s="65"/>
      <c r="T90" s="65"/>
      <c r="U90" s="65"/>
      <c r="V90" s="65"/>
      <c r="W90" s="65"/>
      <c r="X90" s="65"/>
      <c r="Y90" s="65"/>
      <c r="Z90" s="65"/>
      <c r="AA90" s="65"/>
      <c r="AB90" s="65"/>
      <c r="AC90" s="65"/>
      <c r="AD90" s="65"/>
      <c r="AE90" s="65"/>
      <c r="AF90" s="65"/>
      <c r="AX90" s="36"/>
      <c r="AY90" s="20"/>
      <c r="AZ90" s="20"/>
      <c r="BA90" s="20"/>
      <c r="BB90" s="20"/>
      <c r="BC90" s="20"/>
      <c r="BD90" s="20"/>
      <c r="BE90" s="20"/>
      <c r="BF90" s="20"/>
      <c r="BG90" s="20"/>
    </row>
    <row r="91" spans="1:59" x14ac:dyDescent="0.2">
      <c r="A91" s="64"/>
      <c r="B91" s="64"/>
      <c r="C91" s="64"/>
      <c r="D91" s="64"/>
      <c r="E91" s="64"/>
      <c r="F91" s="64"/>
      <c r="G91" s="64"/>
      <c r="H91" s="64"/>
      <c r="I91" s="64"/>
      <c r="J91" s="64"/>
      <c r="K91" s="65"/>
      <c r="L91" s="65"/>
      <c r="M91" s="65"/>
      <c r="N91" s="65"/>
      <c r="O91" s="65"/>
      <c r="P91" s="65"/>
      <c r="Q91" s="65"/>
      <c r="R91" s="65"/>
      <c r="S91" s="65"/>
      <c r="T91" s="65"/>
      <c r="U91" s="65"/>
      <c r="V91" s="65"/>
      <c r="W91" s="65"/>
      <c r="X91" s="65"/>
      <c r="Y91" s="65"/>
      <c r="Z91" s="65"/>
      <c r="AA91" s="65"/>
      <c r="AB91" s="65"/>
      <c r="AC91" s="65"/>
      <c r="AD91" s="65"/>
      <c r="AE91" s="65"/>
      <c r="AF91" s="65"/>
      <c r="AX91" s="36"/>
      <c r="AY91" s="20"/>
      <c r="AZ91" s="20"/>
      <c r="BA91" s="20"/>
      <c r="BB91" s="20"/>
      <c r="BC91" s="20"/>
      <c r="BD91" s="20"/>
      <c r="BE91" s="20"/>
      <c r="BF91" s="20"/>
      <c r="BG91" s="20"/>
    </row>
    <row r="92" spans="1:59" x14ac:dyDescent="0.2">
      <c r="A92" s="64"/>
      <c r="B92" s="64"/>
      <c r="C92" s="64"/>
      <c r="D92" s="64"/>
      <c r="E92" s="64"/>
      <c r="F92" s="64"/>
      <c r="G92" s="64"/>
      <c r="H92" s="64"/>
      <c r="I92" s="64"/>
      <c r="J92" s="64"/>
      <c r="K92" s="65"/>
      <c r="L92" s="65"/>
      <c r="M92" s="65"/>
      <c r="N92" s="65"/>
      <c r="O92" s="65"/>
      <c r="P92" s="65"/>
      <c r="Q92" s="65"/>
      <c r="R92" s="65"/>
      <c r="S92" s="65"/>
      <c r="T92" s="65"/>
      <c r="U92" s="65"/>
      <c r="V92" s="65"/>
      <c r="W92" s="65"/>
      <c r="X92" s="65"/>
      <c r="Y92" s="65"/>
      <c r="Z92" s="65"/>
      <c r="AA92" s="65"/>
      <c r="AB92" s="65"/>
      <c r="AC92" s="65"/>
      <c r="AD92" s="65"/>
      <c r="AE92" s="65"/>
      <c r="AF92" s="65"/>
      <c r="AX92" s="36"/>
      <c r="AY92" s="20"/>
      <c r="AZ92" s="20"/>
      <c r="BA92" s="20"/>
      <c r="BB92" s="20"/>
      <c r="BC92" s="20"/>
      <c r="BD92" s="20"/>
      <c r="BE92" s="20"/>
      <c r="BF92" s="20"/>
      <c r="BG92" s="20"/>
    </row>
    <row r="93" spans="1:59" x14ac:dyDescent="0.2">
      <c r="A93" s="64"/>
      <c r="B93" s="64"/>
      <c r="C93" s="64"/>
      <c r="D93" s="64"/>
      <c r="E93" s="64"/>
      <c r="F93" s="64"/>
      <c r="G93" s="64"/>
      <c r="H93" s="64"/>
      <c r="I93" s="64"/>
      <c r="J93" s="64"/>
      <c r="K93" s="65"/>
      <c r="L93" s="65"/>
      <c r="M93" s="65"/>
      <c r="N93" s="65"/>
      <c r="O93" s="65"/>
      <c r="P93" s="65"/>
      <c r="Q93" s="65"/>
      <c r="R93" s="65"/>
      <c r="S93" s="65"/>
      <c r="T93" s="65"/>
      <c r="U93" s="65"/>
      <c r="V93" s="65"/>
      <c r="W93" s="65"/>
      <c r="X93" s="65"/>
      <c r="Y93" s="65"/>
      <c r="Z93" s="65"/>
      <c r="AA93" s="65"/>
      <c r="AB93" s="65"/>
      <c r="AC93" s="65"/>
      <c r="AD93" s="65"/>
      <c r="AE93" s="65"/>
      <c r="AF93" s="65"/>
      <c r="AX93" s="36"/>
      <c r="AY93" s="20"/>
      <c r="AZ93" s="20"/>
      <c r="BA93" s="20"/>
      <c r="BB93" s="20"/>
      <c r="BC93" s="20"/>
      <c r="BD93" s="20"/>
      <c r="BE93" s="20"/>
      <c r="BF93" s="20"/>
      <c r="BG93" s="20"/>
    </row>
    <row r="94" spans="1:59" x14ac:dyDescent="0.2">
      <c r="A94" s="64"/>
      <c r="B94" s="64"/>
      <c r="C94" s="64"/>
      <c r="D94" s="64"/>
      <c r="E94" s="64"/>
      <c r="F94" s="64"/>
      <c r="G94" s="64"/>
      <c r="H94" s="64"/>
      <c r="I94" s="64"/>
      <c r="J94" s="64"/>
      <c r="K94" s="65"/>
      <c r="L94" s="65"/>
      <c r="M94" s="65"/>
      <c r="N94" s="65"/>
      <c r="O94" s="65"/>
      <c r="P94" s="65"/>
      <c r="Q94" s="65"/>
      <c r="R94" s="65"/>
      <c r="S94" s="65"/>
      <c r="T94" s="65"/>
      <c r="U94" s="65"/>
      <c r="V94" s="65"/>
      <c r="W94" s="65"/>
      <c r="X94" s="65"/>
      <c r="Y94" s="65"/>
      <c r="Z94" s="65"/>
      <c r="AA94" s="65"/>
      <c r="AB94" s="65"/>
      <c r="AC94" s="65"/>
      <c r="AD94" s="65"/>
      <c r="AE94" s="65"/>
      <c r="AF94" s="65"/>
      <c r="AX94" s="36"/>
    </row>
    <row r="95" spans="1:59" x14ac:dyDescent="0.2">
      <c r="A95" s="64"/>
      <c r="B95" s="64"/>
      <c r="C95" s="64"/>
      <c r="D95" s="64"/>
      <c r="E95" s="64"/>
      <c r="F95" s="64"/>
      <c r="G95" s="64"/>
      <c r="H95" s="64"/>
      <c r="I95" s="64"/>
      <c r="J95" s="64"/>
      <c r="K95" s="65"/>
      <c r="L95" s="65"/>
      <c r="M95" s="65"/>
      <c r="N95" s="65"/>
      <c r="O95" s="65"/>
      <c r="P95" s="65"/>
      <c r="Q95" s="65"/>
      <c r="R95" s="65"/>
      <c r="S95" s="65"/>
      <c r="T95" s="65"/>
      <c r="U95" s="65"/>
      <c r="V95" s="65"/>
      <c r="W95" s="65"/>
      <c r="X95" s="65"/>
      <c r="Y95" s="65"/>
      <c r="Z95" s="65"/>
      <c r="AA95" s="65"/>
      <c r="AB95" s="65"/>
      <c r="AC95" s="65"/>
      <c r="AD95" s="65"/>
      <c r="AE95" s="65"/>
      <c r="AF95" s="65"/>
      <c r="AX95" s="36"/>
    </row>
    <row r="96" spans="1:59" x14ac:dyDescent="0.2">
      <c r="A96" s="64"/>
      <c r="B96" s="64"/>
      <c r="C96" s="64"/>
      <c r="D96" s="64"/>
      <c r="E96" s="64"/>
      <c r="F96" s="64"/>
      <c r="G96" s="64"/>
      <c r="H96" s="64"/>
      <c r="I96" s="64"/>
      <c r="J96" s="64"/>
      <c r="K96" s="65"/>
      <c r="L96" s="65"/>
      <c r="M96" s="65"/>
      <c r="N96" s="65"/>
      <c r="O96" s="65"/>
      <c r="P96" s="65"/>
      <c r="Q96" s="65"/>
      <c r="R96" s="65"/>
      <c r="S96" s="65"/>
      <c r="T96" s="65"/>
      <c r="U96" s="65"/>
      <c r="V96" s="65"/>
      <c r="W96" s="65"/>
      <c r="X96" s="65"/>
      <c r="Y96" s="65"/>
      <c r="Z96" s="65"/>
      <c r="AA96" s="65"/>
      <c r="AB96" s="65"/>
      <c r="AC96" s="65"/>
      <c r="AD96" s="65"/>
      <c r="AE96" s="65"/>
      <c r="AF96" s="65"/>
    </row>
    <row r="97" spans="1:37" x14ac:dyDescent="0.2">
      <c r="A97" s="64"/>
      <c r="B97" s="64"/>
      <c r="C97" s="64"/>
      <c r="D97" s="64"/>
      <c r="E97" s="64"/>
      <c r="F97" s="64"/>
      <c r="G97" s="64"/>
      <c r="H97" s="64"/>
      <c r="I97" s="64"/>
      <c r="J97" s="64"/>
      <c r="K97" s="65"/>
      <c r="L97" s="65"/>
      <c r="M97" s="65"/>
      <c r="N97" s="65"/>
      <c r="O97" s="65"/>
      <c r="P97" s="65"/>
      <c r="Q97" s="65"/>
      <c r="R97" s="65"/>
      <c r="S97" s="65"/>
      <c r="T97" s="65"/>
      <c r="U97" s="65"/>
      <c r="V97" s="65"/>
      <c r="W97" s="65"/>
      <c r="X97" s="65"/>
      <c r="Y97" s="65"/>
      <c r="Z97" s="65"/>
      <c r="AA97" s="65"/>
      <c r="AB97" s="65"/>
      <c r="AC97" s="65"/>
      <c r="AD97" s="65"/>
      <c r="AE97" s="65"/>
      <c r="AF97" s="65"/>
    </row>
    <row r="98" spans="1:37" x14ac:dyDescent="0.2">
      <c r="A98" s="64"/>
      <c r="B98" s="64"/>
      <c r="C98" s="64"/>
      <c r="D98" s="64"/>
      <c r="E98" s="64"/>
      <c r="F98" s="64"/>
      <c r="G98" s="64"/>
      <c r="H98" s="64"/>
      <c r="I98" s="64"/>
      <c r="J98" s="64"/>
      <c r="K98" s="65"/>
      <c r="L98" s="65"/>
      <c r="M98" s="65"/>
      <c r="N98" s="65"/>
      <c r="O98" s="65"/>
      <c r="P98" s="65"/>
      <c r="Q98" s="65"/>
      <c r="R98" s="65"/>
      <c r="S98" s="65"/>
      <c r="T98" s="65"/>
      <c r="U98" s="65"/>
      <c r="V98" s="65"/>
      <c r="W98" s="65"/>
      <c r="X98" s="65"/>
      <c r="Y98" s="65"/>
      <c r="Z98" s="65"/>
      <c r="AA98" s="65"/>
      <c r="AB98" s="65"/>
      <c r="AC98" s="65"/>
      <c r="AD98" s="65"/>
      <c r="AE98" s="65"/>
      <c r="AF98" s="65"/>
    </row>
    <row r="99" spans="1:37" x14ac:dyDescent="0.2">
      <c r="A99" s="64"/>
      <c r="B99" s="64"/>
      <c r="C99" s="64"/>
      <c r="D99" s="64"/>
      <c r="E99" s="64"/>
      <c r="F99" s="64"/>
      <c r="G99" s="64"/>
      <c r="H99" s="64"/>
      <c r="I99" s="64"/>
      <c r="J99" s="64"/>
      <c r="K99" s="65"/>
      <c r="L99" s="65"/>
      <c r="M99" s="65"/>
      <c r="N99" s="65"/>
      <c r="O99" s="65"/>
      <c r="P99" s="65"/>
      <c r="Q99" s="65"/>
      <c r="R99" s="65"/>
      <c r="S99" s="65"/>
      <c r="T99" s="65"/>
      <c r="U99" s="65"/>
      <c r="V99" s="65"/>
      <c r="W99" s="65"/>
      <c r="X99" s="65"/>
      <c r="Y99" s="65"/>
      <c r="Z99" s="65"/>
      <c r="AA99" s="65"/>
      <c r="AB99" s="65"/>
      <c r="AC99" s="65"/>
      <c r="AD99" s="65"/>
      <c r="AE99" s="65"/>
      <c r="AF99" s="65"/>
    </row>
    <row r="100" spans="1:37" x14ac:dyDescent="0.2">
      <c r="A100" s="64"/>
      <c r="B100" s="64"/>
      <c r="C100" s="64"/>
      <c r="D100" s="64"/>
      <c r="E100" s="64"/>
      <c r="F100" s="64"/>
      <c r="G100" s="64"/>
      <c r="H100" s="64"/>
      <c r="I100" s="64"/>
      <c r="J100" s="64"/>
      <c r="K100" s="65"/>
      <c r="L100" s="65"/>
      <c r="M100" s="65"/>
      <c r="N100" s="65"/>
      <c r="O100" s="65"/>
      <c r="P100" s="65"/>
      <c r="Q100" s="65"/>
      <c r="R100" s="65"/>
      <c r="S100" s="65"/>
      <c r="T100" s="65"/>
      <c r="U100" s="65"/>
      <c r="V100" s="65"/>
      <c r="W100" s="65"/>
      <c r="X100" s="65"/>
      <c r="Y100" s="65"/>
      <c r="Z100" s="65"/>
      <c r="AA100" s="65"/>
      <c r="AB100" s="65"/>
      <c r="AC100" s="65"/>
      <c r="AD100" s="65"/>
      <c r="AE100" s="65"/>
      <c r="AF100" s="65"/>
    </row>
    <row r="101" spans="1:37" x14ac:dyDescent="0.2">
      <c r="A101" s="64"/>
      <c r="B101" s="64"/>
      <c r="C101" s="64"/>
      <c r="D101" s="64"/>
      <c r="E101" s="64"/>
      <c r="F101" s="64"/>
      <c r="G101" s="64"/>
      <c r="H101" s="64"/>
      <c r="I101" s="64"/>
      <c r="J101" s="64"/>
      <c r="K101" s="65"/>
      <c r="L101" s="65"/>
      <c r="M101" s="65"/>
      <c r="N101" s="65"/>
      <c r="O101" s="65"/>
      <c r="P101" s="65"/>
      <c r="Q101" s="65"/>
      <c r="R101" s="65"/>
      <c r="S101" s="65"/>
      <c r="T101" s="65"/>
      <c r="U101" s="65"/>
      <c r="V101" s="65"/>
      <c r="W101" s="65"/>
      <c r="X101" s="65"/>
      <c r="Y101" s="65"/>
      <c r="Z101" s="65"/>
      <c r="AA101" s="65"/>
      <c r="AB101" s="65"/>
      <c r="AC101" s="65"/>
      <c r="AD101" s="65"/>
      <c r="AE101" s="65"/>
      <c r="AF101" s="65"/>
    </row>
    <row r="102" spans="1:37" x14ac:dyDescent="0.2">
      <c r="A102" s="64"/>
      <c r="B102" s="64"/>
      <c r="C102" s="64"/>
      <c r="D102" s="64"/>
      <c r="E102" s="64"/>
      <c r="F102" s="64"/>
      <c r="G102" s="64"/>
      <c r="H102" s="64"/>
      <c r="I102" s="64"/>
      <c r="J102" s="64"/>
      <c r="K102" s="65"/>
      <c r="L102" s="65"/>
      <c r="M102" s="65"/>
      <c r="N102" s="65"/>
      <c r="O102" s="65"/>
      <c r="P102" s="65"/>
      <c r="Q102" s="65"/>
      <c r="R102" s="65"/>
      <c r="S102" s="65"/>
      <c r="T102" s="65"/>
      <c r="U102" s="65"/>
      <c r="V102" s="65"/>
      <c r="W102" s="65"/>
      <c r="X102" s="65"/>
      <c r="Y102" s="65"/>
      <c r="Z102" s="65"/>
      <c r="AA102" s="65"/>
      <c r="AB102" s="65"/>
      <c r="AC102" s="65"/>
      <c r="AD102" s="65"/>
      <c r="AE102" s="65"/>
      <c r="AF102" s="65"/>
    </row>
    <row r="103" spans="1:37" x14ac:dyDescent="0.2">
      <c r="A103" s="64"/>
      <c r="B103" s="64"/>
      <c r="C103" s="64"/>
      <c r="D103" s="64"/>
      <c r="E103" s="64"/>
      <c r="F103" s="64"/>
      <c r="G103" s="64"/>
      <c r="H103" s="64"/>
      <c r="I103" s="64"/>
      <c r="J103" s="64"/>
      <c r="K103" s="65"/>
      <c r="L103" s="65"/>
      <c r="M103" s="65"/>
      <c r="N103" s="65"/>
      <c r="O103" s="65"/>
      <c r="P103" s="65"/>
      <c r="Q103" s="65"/>
      <c r="R103" s="65"/>
      <c r="S103" s="65"/>
      <c r="T103" s="65"/>
      <c r="U103" s="65"/>
      <c r="V103" s="65"/>
      <c r="W103" s="65"/>
      <c r="X103" s="65"/>
      <c r="Y103" s="65"/>
      <c r="Z103" s="65"/>
      <c r="AA103" s="65"/>
      <c r="AB103" s="65"/>
      <c r="AC103" s="65"/>
      <c r="AD103" s="65"/>
      <c r="AE103" s="65"/>
      <c r="AF103" s="65"/>
    </row>
    <row r="104" spans="1:37" x14ac:dyDescent="0.2">
      <c r="A104" s="64"/>
      <c r="B104" s="64"/>
      <c r="C104" s="64"/>
      <c r="D104" s="64"/>
      <c r="E104" s="64"/>
      <c r="F104" s="64"/>
      <c r="G104" s="64"/>
      <c r="H104" s="64"/>
      <c r="I104" s="64"/>
      <c r="J104" s="64"/>
      <c r="K104" s="65"/>
      <c r="L104" s="65"/>
      <c r="M104" s="65"/>
      <c r="N104" s="65"/>
      <c r="O104" s="65"/>
      <c r="P104" s="65"/>
      <c r="Q104" s="65"/>
      <c r="R104" s="65"/>
      <c r="S104" s="65"/>
      <c r="T104" s="65"/>
      <c r="U104" s="65"/>
      <c r="V104" s="65"/>
      <c r="W104" s="65"/>
      <c r="X104" s="65"/>
      <c r="Y104" s="65"/>
      <c r="Z104" s="65"/>
      <c r="AA104" s="65"/>
      <c r="AB104" s="65"/>
      <c r="AC104" s="65"/>
      <c r="AD104" s="65"/>
      <c r="AE104" s="65"/>
      <c r="AF104" s="65"/>
    </row>
    <row r="105" spans="1:37" x14ac:dyDescent="0.2">
      <c r="A105" s="64"/>
      <c r="B105" s="64"/>
      <c r="C105" s="64"/>
      <c r="D105" s="64"/>
      <c r="E105" s="64"/>
      <c r="F105" s="64"/>
      <c r="G105" s="64"/>
      <c r="H105" s="64"/>
      <c r="I105" s="64"/>
      <c r="J105" s="64"/>
      <c r="K105" s="65"/>
      <c r="L105" s="65"/>
      <c r="M105" s="65"/>
      <c r="N105" s="65"/>
      <c r="O105" s="65"/>
      <c r="P105" s="65"/>
      <c r="Q105" s="65"/>
      <c r="R105" s="65"/>
      <c r="S105" s="65"/>
      <c r="T105" s="65"/>
      <c r="U105" s="65"/>
      <c r="V105" s="65"/>
      <c r="W105" s="65"/>
      <c r="X105" s="65"/>
      <c r="Y105" s="65"/>
      <c r="Z105" s="65"/>
      <c r="AA105" s="65"/>
      <c r="AB105" s="65"/>
      <c r="AC105" s="65"/>
      <c r="AD105" s="65"/>
      <c r="AE105" s="65"/>
      <c r="AF105" s="65"/>
    </row>
    <row r="106" spans="1:37" x14ac:dyDescent="0.2">
      <c r="A106" s="64"/>
      <c r="B106" s="64"/>
      <c r="C106" s="64"/>
      <c r="D106" s="64"/>
      <c r="E106" s="64"/>
      <c r="F106" s="64"/>
      <c r="G106" s="64"/>
      <c r="H106" s="64"/>
      <c r="I106" s="64"/>
      <c r="J106" s="64"/>
      <c r="K106" s="65"/>
      <c r="L106" s="65"/>
      <c r="M106" s="65"/>
      <c r="N106" s="65"/>
      <c r="O106" s="65"/>
      <c r="P106" s="65"/>
      <c r="Q106" s="65"/>
      <c r="R106" s="65"/>
      <c r="S106" s="65"/>
      <c r="T106" s="65"/>
      <c r="U106" s="65"/>
      <c r="V106" s="65"/>
      <c r="W106" s="65"/>
      <c r="X106" s="65"/>
      <c r="Y106" s="65"/>
      <c r="Z106" s="65"/>
      <c r="AA106" s="65"/>
      <c r="AB106" s="65"/>
      <c r="AC106" s="65"/>
      <c r="AD106" s="65"/>
      <c r="AE106" s="65"/>
      <c r="AF106" s="65"/>
    </row>
    <row r="107" spans="1:37" x14ac:dyDescent="0.2">
      <c r="A107" s="64"/>
      <c r="B107" s="64"/>
      <c r="C107" s="64"/>
      <c r="D107" s="64"/>
      <c r="E107" s="64"/>
      <c r="F107" s="64"/>
      <c r="G107" s="64"/>
      <c r="H107" s="64"/>
      <c r="I107" s="64"/>
      <c r="J107" s="64"/>
      <c r="K107" s="65"/>
      <c r="L107" s="65"/>
      <c r="M107" s="65"/>
      <c r="N107" s="65"/>
      <c r="O107" s="65"/>
      <c r="P107" s="65"/>
      <c r="Q107" s="65"/>
      <c r="R107" s="65"/>
      <c r="S107" s="65"/>
      <c r="T107" s="65"/>
      <c r="U107" s="65"/>
      <c r="V107" s="65"/>
      <c r="W107" s="65"/>
      <c r="X107" s="65"/>
      <c r="Y107" s="65"/>
      <c r="Z107" s="65"/>
      <c r="AA107" s="65"/>
      <c r="AB107" s="65"/>
      <c r="AC107" s="65"/>
      <c r="AD107" s="65"/>
      <c r="AE107" s="65"/>
      <c r="AF107" s="65"/>
    </row>
    <row r="108" spans="1:37" x14ac:dyDescent="0.2">
      <c r="A108" s="64"/>
      <c r="B108" s="64"/>
      <c r="C108" s="64"/>
      <c r="D108" s="64"/>
      <c r="E108" s="64"/>
      <c r="F108" s="64"/>
      <c r="G108" s="64"/>
      <c r="H108" s="64"/>
      <c r="I108" s="64"/>
      <c r="J108" s="64"/>
      <c r="K108" s="65"/>
      <c r="L108" s="65"/>
      <c r="M108" s="65"/>
      <c r="N108" s="65"/>
      <c r="O108" s="65"/>
      <c r="P108" s="65"/>
      <c r="Q108" s="65"/>
      <c r="R108" s="65"/>
      <c r="S108" s="65"/>
      <c r="T108" s="65"/>
      <c r="U108" s="65"/>
      <c r="V108" s="65"/>
      <c r="W108" s="65"/>
      <c r="X108" s="65"/>
      <c r="Y108" s="65"/>
      <c r="Z108" s="65"/>
      <c r="AA108" s="65"/>
      <c r="AB108" s="65"/>
      <c r="AC108" s="65"/>
      <c r="AD108" s="65"/>
      <c r="AE108" s="65"/>
      <c r="AF108" s="65"/>
    </row>
    <row r="109" spans="1:37" x14ac:dyDescent="0.2">
      <c r="A109" s="64"/>
      <c r="B109" s="64"/>
      <c r="C109" s="64"/>
      <c r="D109" s="64"/>
      <c r="E109" s="64"/>
      <c r="F109" s="64"/>
      <c r="G109" s="64"/>
      <c r="H109" s="64"/>
      <c r="I109" s="64"/>
      <c r="J109" s="64"/>
      <c r="K109" s="65"/>
      <c r="L109" s="65"/>
      <c r="M109" s="65"/>
      <c r="N109" s="65"/>
      <c r="O109" s="65"/>
      <c r="P109" s="65"/>
      <c r="Q109" s="65"/>
      <c r="R109" s="65"/>
      <c r="S109" s="65"/>
      <c r="T109" s="65"/>
      <c r="U109" s="65"/>
      <c r="V109" s="65"/>
      <c r="W109" s="65"/>
      <c r="X109" s="65"/>
      <c r="Y109" s="65"/>
      <c r="Z109" s="65"/>
      <c r="AA109" s="65"/>
      <c r="AB109" s="65"/>
      <c r="AC109" s="65"/>
      <c r="AD109" s="65"/>
      <c r="AE109" s="65"/>
      <c r="AF109" s="65"/>
    </row>
    <row r="110" spans="1:37" x14ac:dyDescent="0.2">
      <c r="A110" s="64"/>
      <c r="B110" s="64"/>
      <c r="C110" s="64"/>
      <c r="D110" s="64"/>
      <c r="E110" s="64"/>
      <c r="F110" s="64"/>
      <c r="G110" s="64"/>
      <c r="H110" s="64"/>
      <c r="I110" s="64"/>
      <c r="J110" s="64"/>
      <c r="K110" s="65"/>
      <c r="L110" s="65"/>
      <c r="M110" s="65"/>
      <c r="N110" s="65"/>
      <c r="O110" s="65"/>
      <c r="P110" s="65"/>
      <c r="Q110" s="65"/>
      <c r="R110" s="65"/>
      <c r="S110" s="65"/>
      <c r="T110" s="65"/>
      <c r="U110" s="65"/>
      <c r="V110" s="65"/>
      <c r="W110" s="65"/>
      <c r="X110" s="65"/>
      <c r="Y110" s="65"/>
      <c r="Z110" s="65"/>
      <c r="AA110" s="65"/>
      <c r="AB110" s="65"/>
      <c r="AC110" s="65"/>
      <c r="AD110" s="65"/>
      <c r="AE110" s="65"/>
      <c r="AF110" s="65"/>
    </row>
    <row r="111" spans="1:37" x14ac:dyDescent="0.2">
      <c r="A111" s="64"/>
      <c r="B111" s="64"/>
      <c r="C111" s="64"/>
      <c r="D111" s="64"/>
      <c r="E111" s="64"/>
      <c r="F111" s="64"/>
      <c r="G111" s="64"/>
      <c r="H111" s="64"/>
      <c r="I111" s="64"/>
      <c r="J111" s="64"/>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3"/>
      <c r="AH111" s="3"/>
      <c r="AI111" s="3"/>
      <c r="AJ111" s="3"/>
      <c r="AK111" s="3"/>
    </row>
    <row r="112" spans="1:37" x14ac:dyDescent="0.2">
      <c r="A112" s="64"/>
      <c r="B112" s="64"/>
      <c r="C112" s="64"/>
      <c r="D112" s="64"/>
      <c r="E112" s="64"/>
      <c r="F112" s="64"/>
      <c r="G112" s="64"/>
      <c r="H112" s="64"/>
      <c r="I112" s="64"/>
      <c r="J112" s="64"/>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3"/>
      <c r="AH112" s="3"/>
      <c r="AI112" s="3"/>
      <c r="AJ112" s="3"/>
      <c r="AK112" s="3"/>
    </row>
    <row r="113" spans="1:37" x14ac:dyDescent="0.2">
      <c r="A113" s="64"/>
      <c r="B113" s="64"/>
      <c r="C113" s="64"/>
      <c r="D113" s="64"/>
      <c r="E113" s="64"/>
      <c r="F113" s="64"/>
      <c r="G113" s="64"/>
      <c r="H113" s="64"/>
      <c r="I113" s="64"/>
      <c r="J113" s="64"/>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3"/>
      <c r="AH113" s="3"/>
      <c r="AI113" s="3"/>
      <c r="AJ113" s="3"/>
      <c r="AK113" s="3"/>
    </row>
    <row r="114" spans="1:37" x14ac:dyDescent="0.2">
      <c r="A114" s="64"/>
      <c r="B114" s="64"/>
      <c r="C114" s="64"/>
      <c r="D114" s="64"/>
      <c r="E114" s="64"/>
      <c r="F114" s="64"/>
      <c r="G114" s="64"/>
      <c r="H114" s="64"/>
      <c r="I114" s="64"/>
      <c r="J114" s="64"/>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3"/>
      <c r="AH114" s="3"/>
      <c r="AI114" s="3"/>
      <c r="AJ114" s="3"/>
      <c r="AK114" s="3"/>
    </row>
  </sheetData>
  <sheetProtection password="B8CB" sheet="1" objects="1" scenarios="1"/>
  <dataConsolidate/>
  <mergeCells count="115">
    <mergeCell ref="Q71:R71"/>
    <mergeCell ref="Q82:R82"/>
    <mergeCell ref="Q83:R83"/>
    <mergeCell ref="Q84:R84"/>
    <mergeCell ref="Q85:R85"/>
    <mergeCell ref="Q86:R86"/>
    <mergeCell ref="Q77:R77"/>
    <mergeCell ref="Q78:R78"/>
    <mergeCell ref="Q79:R79"/>
    <mergeCell ref="Q80:R80"/>
    <mergeCell ref="Q81:R81"/>
    <mergeCell ref="G30:G31"/>
    <mergeCell ref="H30:H31"/>
    <mergeCell ref="I30:I31"/>
    <mergeCell ref="J30:J31"/>
    <mergeCell ref="Q70:R70"/>
    <mergeCell ref="N86:O86"/>
    <mergeCell ref="N87:O87"/>
    <mergeCell ref="N88:O88"/>
    <mergeCell ref="N89:O89"/>
    <mergeCell ref="N80:O80"/>
    <mergeCell ref="N81:O81"/>
    <mergeCell ref="N82:O82"/>
    <mergeCell ref="N83:O83"/>
    <mergeCell ref="N84:O84"/>
    <mergeCell ref="N85:O85"/>
    <mergeCell ref="N79:O79"/>
    <mergeCell ref="Q73:R73"/>
    <mergeCell ref="Q74:R74"/>
    <mergeCell ref="Q75:R75"/>
    <mergeCell ref="Q76:R76"/>
    <mergeCell ref="Q87:R87"/>
    <mergeCell ref="Q88:R88"/>
    <mergeCell ref="Q89:R89"/>
    <mergeCell ref="G70:G71"/>
    <mergeCell ref="B54:F54"/>
    <mergeCell ref="B55:F55"/>
    <mergeCell ref="N70:O70"/>
    <mergeCell ref="N73:O73"/>
    <mergeCell ref="N74:O74"/>
    <mergeCell ref="N75:O75"/>
    <mergeCell ref="N76:O76"/>
    <mergeCell ref="N77:O77"/>
    <mergeCell ref="N78:O78"/>
    <mergeCell ref="H70:H71"/>
    <mergeCell ref="I70:I71"/>
    <mergeCell ref="J70:J71"/>
    <mergeCell ref="B52:F52"/>
    <mergeCell ref="B53:F53"/>
    <mergeCell ref="B40:F40"/>
    <mergeCell ref="B29:C29"/>
    <mergeCell ref="D29:E29"/>
    <mergeCell ref="B31:F31"/>
    <mergeCell ref="B32:F32"/>
    <mergeCell ref="B33:F33"/>
    <mergeCell ref="B34:F34"/>
    <mergeCell ref="B35:F35"/>
    <mergeCell ref="B36:F36"/>
    <mergeCell ref="B37:F37"/>
    <mergeCell ref="B38:F38"/>
    <mergeCell ref="B39:F39"/>
    <mergeCell ref="B41:F41"/>
    <mergeCell ref="B42:F42"/>
    <mergeCell ref="B44:F44"/>
    <mergeCell ref="B45:F45"/>
    <mergeCell ref="B46:F46"/>
    <mergeCell ref="B47:F47"/>
    <mergeCell ref="B48:F48"/>
    <mergeCell ref="B49:F49"/>
    <mergeCell ref="B51:F51"/>
    <mergeCell ref="B27:C27"/>
    <mergeCell ref="D27:E27"/>
    <mergeCell ref="G27:H27"/>
    <mergeCell ref="I27:J27"/>
    <mergeCell ref="B28:C28"/>
    <mergeCell ref="D28:E28"/>
    <mergeCell ref="U24:W24"/>
    <mergeCell ref="B25:C25"/>
    <mergeCell ref="D25:E25"/>
    <mergeCell ref="G25:H25"/>
    <mergeCell ref="I25:J25"/>
    <mergeCell ref="B26:C26"/>
    <mergeCell ref="D26:E26"/>
    <mergeCell ref="G26:H26"/>
    <mergeCell ref="I26:J26"/>
    <mergeCell ref="B22:E23"/>
    <mergeCell ref="G22:J23"/>
    <mergeCell ref="B24:C24"/>
    <mergeCell ref="D24:E24"/>
    <mergeCell ref="G24:H24"/>
    <mergeCell ref="I24:J24"/>
    <mergeCell ref="AE14:AE16"/>
    <mergeCell ref="M2:W2"/>
    <mergeCell ref="D3:E3"/>
    <mergeCell ref="F3:J3"/>
    <mergeCell ref="M3:W4"/>
    <mergeCell ref="D4:E4"/>
    <mergeCell ref="F4:J4"/>
    <mergeCell ref="D5:E5"/>
    <mergeCell ref="F5:J5"/>
    <mergeCell ref="U6:W6"/>
    <mergeCell ref="B14:J16"/>
    <mergeCell ref="M14:M16"/>
    <mergeCell ref="DA1:DC1"/>
    <mergeCell ref="AY1:BE1"/>
    <mergeCell ref="BF1:BG1"/>
    <mergeCell ref="BH1:BJ1"/>
    <mergeCell ref="BN1:BT1"/>
    <mergeCell ref="BU1:BV1"/>
    <mergeCell ref="BW1:BY1"/>
    <mergeCell ref="CC1:CI1"/>
    <mergeCell ref="CJ1:CK1"/>
    <mergeCell ref="CL1:CN1"/>
    <mergeCell ref="CR1:CX1"/>
    <mergeCell ref="CY1:CZ1"/>
  </mergeCells>
  <dataValidations count="13">
    <dataValidation type="list" allowBlank="1" showInputMessage="1" showErrorMessage="1" sqref="D29:E29">
      <formula1>$AO$31:$AO$40</formula1>
    </dataValidation>
    <dataValidation type="list" allowBlank="1" showErrorMessage="1" sqref="V12 Y15 V18 S15">
      <formula1>$AL$2:$AL$7</formula1>
    </dataValidation>
    <dataValidation type="list" showInputMessage="1" showErrorMessage="1" sqref="G55:J55">
      <formula1>$AL$43:$AL$44</formula1>
    </dataValidation>
    <dataValidation type="list" allowBlank="1" showInputMessage="1" showErrorMessage="1" sqref="D25">
      <formula1>$AL$17:$AL$22</formula1>
    </dataValidation>
    <dataValidation type="whole" allowBlank="1" showInputMessage="1" showErrorMessage="1" sqref="U8:W8 AC14:AC16 O14:O16 Q14:Q16 AA14:AA16 U22:W22 U10:W10 U20:W20">
      <formula1>0</formula1>
      <formula2>99999</formula2>
    </dataValidation>
    <dataValidation type="whole" allowBlank="1" showInputMessage="1" showErrorMessage="1" sqref="G45:J45">
      <formula1>1</formula1>
      <formula2>9999</formula2>
    </dataValidation>
    <dataValidation type="list" allowBlank="1" showInputMessage="1" showErrorMessage="1" sqref="G47:J49 G37:J42 G52:J54">
      <formula1>$AL$39:$AL$40</formula1>
    </dataValidation>
    <dataValidation type="decimal" allowBlank="1" showInputMessage="1" showErrorMessage="1" sqref="G32:J33">
      <formula1>0</formula1>
      <formula2>99</formula2>
    </dataValidation>
    <dataValidation type="list" allowBlank="1" showInputMessage="1" showErrorMessage="1" sqref="D28:E28 G34:J35">
      <formula1>$AL$31:$AL$36</formula1>
    </dataValidation>
    <dataValidation type="whole" operator="greaterThanOrEqual" allowBlank="1" showInputMessage="1" showErrorMessage="1" sqref="D27:E27">
      <formula1>1</formula1>
    </dataValidation>
    <dataValidation type="list" allowBlank="1" showInputMessage="1" showErrorMessage="1" sqref="D26:E26">
      <formula1>$AL$27:$AL$28</formula1>
    </dataValidation>
    <dataValidation type="list" allowBlank="1" showInputMessage="1" showErrorMessage="1" sqref="D24">
      <formula1>$AL$12:$AL$14</formula1>
    </dataValidation>
    <dataValidation type="decimal" allowBlank="1" showInputMessage="1" showErrorMessage="1" sqref="G36:J36">
      <formula1>0</formula1>
      <formula2>999</formula2>
    </dataValidation>
  </dataValidations>
  <pageMargins left="0.70866141732283472" right="0.70866141732283472" top="0.74803149606299213" bottom="0.74803149606299213" header="0.31496062992125984" footer="0.31496062992125984"/>
  <pageSetup paperSize="8" scale="93" orientation="landscape" r:id="rId1"/>
  <headerFooter alignWithMargins="0"/>
  <rowBreaks count="1" manualBreakCount="1">
    <brk id="56"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Sig Crossroad (detail)</vt:lpstr>
      <vt:lpstr>'Sig Crossroad (detail)'!Print_Area</vt:lpstr>
      <vt:lpstr>'Sig Crossroad (detail)'!Print_Titles</vt:lpstr>
    </vt:vector>
  </TitlesOfParts>
  <Company>Beca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Nates</dc:creator>
  <cp:lastModifiedBy>Tracy Allatt</cp:lastModifiedBy>
  <cp:lastPrinted>2012-02-27T21:41:24Z</cp:lastPrinted>
  <dcterms:created xsi:type="dcterms:W3CDTF">2011-10-28T01:16:56Z</dcterms:created>
  <dcterms:modified xsi:type="dcterms:W3CDTF">2012-05-21T23:15:20Z</dcterms:modified>
</cp:coreProperties>
</file>